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https://365nor-my.sharepoint.com/personal/finn_avdem_nortura_no/Documents/Documents/Lammesesongen 2025/"/>
    </mc:Choice>
  </mc:AlternateContent>
  <xr:revisionPtr revIDLastSave="110" documentId="8_{36C7F0AD-377F-4F5F-9F71-842D006204B2}" xr6:coauthVersionLast="47" xr6:coauthVersionMax="47" xr10:uidLastSave="{55D0F5B2-9DF5-44E2-82DF-DCAF019D90AD}"/>
  <bookViews>
    <workbookView xWindow="28680" yWindow="15" windowWidth="29040" windowHeight="17640" tabRatio="673" xr2:uid="{00000000-000D-0000-FFFF-FFFF00000000}"/>
  </bookViews>
  <sheets>
    <sheet name="Brukar-rettleiing" sheetId="2" r:id="rId1"/>
    <sheet name="Slakteoppgjerskalkulatoren" sheetId="1" r:id="rId2"/>
    <sheet name="priseksempel slaktemodent lam" sheetId="3" r:id="rId3"/>
    <sheet name="Soner distriktstilskot" sheetId="4" r:id="rId4"/>
    <sheet name="Kvantumskalkulator"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1" i="1" l="1"/>
  <c r="E8" i="5" l="1"/>
  <c r="B9" i="5"/>
  <c r="E9" i="5" s="1"/>
  <c r="B10" i="5"/>
  <c r="E10" i="5" s="1"/>
  <c r="C8" i="5"/>
  <c r="D8" i="5"/>
  <c r="J57" i="1"/>
  <c r="J56" i="1"/>
  <c r="J51" i="1"/>
  <c r="J50" i="1"/>
  <c r="J49" i="1"/>
  <c r="J48" i="1"/>
  <c r="J43" i="1"/>
  <c r="J40" i="1"/>
  <c r="N7" i="1"/>
  <c r="C15" i="3" s="1"/>
  <c r="N6" i="1"/>
  <c r="M50" i="1"/>
  <c r="M49" i="1"/>
  <c r="M48" i="1"/>
  <c r="N3" i="1"/>
  <c r="C4" i="3"/>
  <c r="C5" i="3"/>
  <c r="B9" i="3"/>
  <c r="B10" i="3"/>
  <c r="B11" i="3"/>
  <c r="B12" i="3"/>
  <c r="B13" i="3"/>
  <c r="C6" i="1"/>
  <c r="E7" i="1" s="1"/>
  <c r="C16" i="1" s="1"/>
  <c r="E6" i="1"/>
  <c r="K6" i="1"/>
  <c r="P6" i="1"/>
  <c r="K7" i="1"/>
  <c r="C12" i="3" s="1"/>
  <c r="P7" i="1"/>
  <c r="B9" i="1"/>
  <c r="C9" i="1"/>
  <c r="B10" i="1"/>
  <c r="C10" i="1"/>
  <c r="J39" i="1"/>
  <c r="K39" i="1"/>
  <c r="K40" i="1" s="1"/>
  <c r="K41" i="1" s="1"/>
  <c r="K42" i="1" s="1"/>
  <c r="K43" i="1" s="1"/>
  <c r="K44" i="1" s="1"/>
  <c r="K45" i="1" s="1"/>
  <c r="K46" i="1" s="1"/>
  <c r="K47" i="1" s="1"/>
  <c r="K48" i="1" s="1"/>
  <c r="K49" i="1" s="1"/>
  <c r="K50" i="1" s="1"/>
  <c r="K51" i="1" s="1"/>
  <c r="K52" i="1" s="1"/>
  <c r="K53" i="1" s="1"/>
  <c r="K54" i="1" s="1"/>
  <c r="K55" i="1" s="1"/>
  <c r="K56" i="1" s="1"/>
  <c r="K57" i="1" s="1"/>
  <c r="K58" i="1" s="1"/>
  <c r="K59" i="1" s="1"/>
  <c r="K60" i="1" s="1"/>
  <c r="K61" i="1" s="1"/>
  <c r="K62" i="1" s="1"/>
  <c r="K63" i="1" s="1"/>
  <c r="J42" i="1"/>
  <c r="J45" i="1"/>
  <c r="M45" i="1"/>
  <c r="J46" i="1"/>
  <c r="M46" i="1"/>
  <c r="J47" i="1"/>
  <c r="M47" i="1"/>
  <c r="J52" i="1"/>
  <c r="J53" i="1"/>
  <c r="J54" i="1"/>
  <c r="J55" i="1"/>
  <c r="J59" i="1"/>
  <c r="J60" i="1"/>
  <c r="J61" i="1"/>
  <c r="J62" i="1"/>
  <c r="J63" i="1"/>
  <c r="J41" i="1"/>
  <c r="J58" i="1"/>
  <c r="J44" i="1"/>
  <c r="C10" i="5"/>
  <c r="D10" i="5" s="1"/>
  <c r="C9" i="5"/>
  <c r="D9" i="5" s="1"/>
  <c r="B11" i="5" l="1"/>
  <c r="B12" i="5" s="1"/>
  <c r="M6" i="1"/>
  <c r="B16" i="1"/>
  <c r="O7" i="1"/>
  <c r="C13" i="3" s="1"/>
  <c r="F9" i="5"/>
  <c r="G9" i="5" s="1"/>
  <c r="H9" i="5" s="1"/>
  <c r="E12" i="5"/>
  <c r="C12" i="5"/>
  <c r="D12" i="5" s="1"/>
  <c r="B13" i="5"/>
  <c r="F10" i="5"/>
  <c r="G10" i="5" s="1"/>
  <c r="H10" i="5" s="1"/>
  <c r="F8" i="5"/>
  <c r="G8" i="5" s="1"/>
  <c r="H8" i="5" s="1"/>
  <c r="H7" i="1"/>
  <c r="C9" i="3" s="1"/>
  <c r="O6" i="1"/>
  <c r="I6" i="1"/>
  <c r="G6" i="1"/>
  <c r="J6" i="1"/>
  <c r="G7" i="1"/>
  <c r="C14" i="3" s="1"/>
  <c r="C8" i="1"/>
  <c r="F7" i="1" s="1"/>
  <c r="J7" i="1"/>
  <c r="C11" i="3" s="1"/>
  <c r="I7" i="1"/>
  <c r="C10" i="3" s="1"/>
  <c r="L7" i="1"/>
  <c r="C6" i="3"/>
  <c r="M7" i="1"/>
  <c r="H6" i="1"/>
  <c r="B8" i="1"/>
  <c r="F6" i="1" s="1"/>
  <c r="L6" i="1"/>
  <c r="C11" i="5" l="1"/>
  <c r="D11" i="5" s="1"/>
  <c r="E11" i="5"/>
  <c r="F12" i="5"/>
  <c r="G12" i="5" s="1"/>
  <c r="H12" i="5" s="1"/>
  <c r="B14" i="5"/>
  <c r="E13" i="5"/>
  <c r="C13" i="5"/>
  <c r="D13" i="5" s="1"/>
  <c r="Q6" i="1"/>
  <c r="R6" i="1" s="1"/>
  <c r="C8" i="3"/>
  <c r="Q7" i="1"/>
  <c r="F11" i="5" l="1"/>
  <c r="G11" i="5" s="1"/>
  <c r="H11" i="5" s="1"/>
  <c r="F13" i="5"/>
  <c r="G13" i="5" s="1"/>
  <c r="H13" i="5" s="1"/>
  <c r="B15" i="5"/>
  <c r="C14" i="5"/>
  <c r="D14" i="5" s="1"/>
  <c r="E14" i="5"/>
  <c r="C16" i="3"/>
  <c r="C17" i="3" s="1"/>
  <c r="O8" i="1"/>
  <c r="R7" i="1"/>
  <c r="O9" i="1"/>
  <c r="F14" i="5" l="1"/>
  <c r="G14" i="5" s="1"/>
  <c r="H14" i="5" s="1"/>
  <c r="B16" i="5"/>
  <c r="C15" i="5"/>
  <c r="D15" i="5" s="1"/>
  <c r="E15" i="5"/>
  <c r="F15" i="5" l="1"/>
  <c r="G15" i="5" s="1"/>
  <c r="H15" i="5" s="1"/>
  <c r="E16" i="5"/>
  <c r="B17" i="5"/>
  <c r="C16" i="5"/>
  <c r="D16" i="5" s="1"/>
  <c r="F16" i="5" l="1"/>
  <c r="G16" i="5" s="1"/>
  <c r="H16" i="5" s="1"/>
  <c r="E17" i="5"/>
  <c r="C17" i="5"/>
  <c r="D17" i="5" s="1"/>
  <c r="B18" i="5"/>
  <c r="F17" i="5" l="1"/>
  <c r="G17" i="5" s="1"/>
  <c r="H17" i="5" s="1"/>
  <c r="E18" i="5"/>
  <c r="B19" i="5"/>
  <c r="C18" i="5"/>
  <c r="D18" i="5" s="1"/>
  <c r="F18" i="5" l="1"/>
  <c r="G18" i="5" s="1"/>
  <c r="H18" i="5" s="1"/>
  <c r="E19" i="5"/>
  <c r="B20" i="5"/>
  <c r="C19" i="5"/>
  <c r="D19" i="5" s="1"/>
  <c r="F19" i="5" l="1"/>
  <c r="G19" i="5" s="1"/>
  <c r="H19" i="5" s="1"/>
  <c r="E20" i="5"/>
  <c r="B21" i="5"/>
  <c r="C20" i="5"/>
  <c r="D20" i="5" s="1"/>
  <c r="F20" i="5" l="1"/>
  <c r="G20" i="5" s="1"/>
  <c r="H20" i="5" s="1"/>
  <c r="E21" i="5"/>
  <c r="C21" i="5"/>
  <c r="D21" i="5" s="1"/>
  <c r="F21" i="5" l="1"/>
  <c r="G21" i="5" s="1"/>
  <c r="H21" i="5" s="1"/>
</calcChain>
</file>

<file path=xl/sharedStrings.xml><?xml version="1.0" encoding="utf-8"?>
<sst xmlns="http://schemas.openxmlformats.org/spreadsheetml/2006/main" count="314" uniqueCount="284">
  <si>
    <t>Distriktstilskot</t>
  </si>
  <si>
    <t>Stjernelamtillegg</t>
  </si>
  <si>
    <t>Forventa tilvekst g/dag</t>
  </si>
  <si>
    <t>Slakteprosent</t>
  </si>
  <si>
    <t>Avrekningspris</t>
  </si>
  <si>
    <t>Distr.tilskot</t>
  </si>
  <si>
    <t>Stjernelam</t>
  </si>
  <si>
    <t>Feittrekk</t>
  </si>
  <si>
    <t>Sum</t>
  </si>
  <si>
    <t>Veke nr</t>
  </si>
  <si>
    <t>1-</t>
  </si>
  <si>
    <t>1+</t>
  </si>
  <si>
    <t>2-</t>
  </si>
  <si>
    <t>2+</t>
  </si>
  <si>
    <t>3-</t>
  </si>
  <si>
    <t>3+</t>
  </si>
  <si>
    <t>4-</t>
  </si>
  <si>
    <t>4+</t>
  </si>
  <si>
    <t>5-</t>
  </si>
  <si>
    <t>5+</t>
  </si>
  <si>
    <t>Fettgr</t>
  </si>
  <si>
    <t>Middel vekt</t>
  </si>
  <si>
    <t>Trekk</t>
  </si>
  <si>
    <t>Klasse</t>
  </si>
  <si>
    <t>P-</t>
  </si>
  <si>
    <t>P</t>
  </si>
  <si>
    <t>P+</t>
  </si>
  <si>
    <t>O-</t>
  </si>
  <si>
    <t>O</t>
  </si>
  <si>
    <t>O+</t>
  </si>
  <si>
    <t>R-</t>
  </si>
  <si>
    <t>R</t>
  </si>
  <si>
    <t>R+</t>
  </si>
  <si>
    <t>U-</t>
  </si>
  <si>
    <t>U</t>
  </si>
  <si>
    <t>U+</t>
  </si>
  <si>
    <t>E-</t>
  </si>
  <si>
    <t>E</t>
  </si>
  <si>
    <t>E+</t>
  </si>
  <si>
    <t>Pris</t>
  </si>
  <si>
    <t>Sone</t>
  </si>
  <si>
    <t>Tilskot</t>
  </si>
  <si>
    <t>Til å dekke arbeid og kostnader pr dag</t>
  </si>
  <si>
    <t>o/u klasse R</t>
  </si>
  <si>
    <t>Veke</t>
  </si>
  <si>
    <t>Forventa tillegg/ trekk o/u kl R</t>
  </si>
  <si>
    <t>Tillegg/ trekk o/u kl R</t>
  </si>
  <si>
    <t>Dato</t>
  </si>
  <si>
    <t>Endring</t>
  </si>
  <si>
    <t>Forventa feittrekk</t>
  </si>
  <si>
    <t>0-14</t>
  </si>
  <si>
    <t>Puljetillegg</t>
  </si>
  <si>
    <t>Puljestørrelse</t>
  </si>
  <si>
    <t>Forventa pulje nr</t>
  </si>
  <si>
    <t>Nr</t>
  </si>
  <si>
    <t>Slakteveke nr</t>
  </si>
  <si>
    <t>veke nr</t>
  </si>
  <si>
    <t>Levandevekt, kg</t>
  </si>
  <si>
    <t>Slaktevekt, kg</t>
  </si>
  <si>
    <t xml:space="preserve">Det skal berre leggjast inn tal i kvite felt. </t>
  </si>
  <si>
    <t>Sett inn forventa slakte %</t>
  </si>
  <si>
    <t>Sett inn forventa tilvekst (celle B3) og planlagt slakteveke (celle C5)</t>
  </si>
  <si>
    <t xml:space="preserve">Vitsen med slakteoppgjerkalkulatoren er å kunne rekne ut forventa slakteoppgjer i ei veke og samanlikne dette med ei seinare slakteveke </t>
  </si>
  <si>
    <t>Pr kg</t>
  </si>
  <si>
    <t>Prisprognose klasse R med grunntilskot og sesongtillegg</t>
  </si>
  <si>
    <t>Fra Vekt</t>
  </si>
  <si>
    <t>Til Vekt</t>
  </si>
  <si>
    <t>Prisprognose med gr.t, sesongtillegg og vekttrekk</t>
  </si>
  <si>
    <t xml:space="preserve">Trekk inkl. grunntilskot </t>
  </si>
  <si>
    <t>Gourmetlamtillegg</t>
  </si>
  <si>
    <t xml:space="preserve"> Evt. overskot skal dekke arbeid og kostnader med utsett slakting. </t>
  </si>
  <si>
    <t>Arket bereknar så forventa slakteoppgjer i planlagt slakteveke og kor mykje bonden har igjen/taper pr dag  ved å utsetje slaktinga.</t>
  </si>
  <si>
    <t>slik at bonden får råd om det mest økonomiske slaktetidspunktet</t>
  </si>
  <si>
    <t>nr</t>
  </si>
  <si>
    <t>Sats kr</t>
  </si>
  <si>
    <t>Kvantumstillegg</t>
  </si>
  <si>
    <t>Kvantum</t>
  </si>
  <si>
    <t xml:space="preserve">Sett inn levandevekt på lammet eller middelvekt for ei gruppe lam </t>
  </si>
  <si>
    <t xml:space="preserve">Kvantumsgrupper </t>
  </si>
  <si>
    <t>0-999 kg sau/lam</t>
  </si>
  <si>
    <t>Kvant. Gruppe nr</t>
  </si>
  <si>
    <t>1000-1999 kg sau/lam/ull</t>
  </si>
  <si>
    <t>2000-2999 kg sau/lam/ull</t>
  </si>
  <si>
    <t>3000-4999 kg sau/lam/ull</t>
  </si>
  <si>
    <t>over 5000 kg sau/lam/ull</t>
  </si>
  <si>
    <t>Lammering</t>
  </si>
  <si>
    <t>Gourmetlam</t>
  </si>
  <si>
    <t>Kr/kg</t>
  </si>
  <si>
    <t>Avrekningspris inkl</t>
  </si>
  <si>
    <t>Lammering kr/dyr</t>
  </si>
  <si>
    <t xml:space="preserve"> Grunntilskot og sesongtillegg</t>
  </si>
  <si>
    <t>Priseksempel</t>
  </si>
  <si>
    <t>Kr pr lam</t>
  </si>
  <si>
    <t>Vekt, kg</t>
  </si>
  <si>
    <t xml:space="preserve">Arket "Priseksempel" er berre eit finare oppsett på kva pris ein kan forvente på det slaktemogne lammet. </t>
  </si>
  <si>
    <t>Sett inn kva distriktstilskotssone du er i (celle D3) og kva kvatumsgruppe du tilhøyrer (celle G3) og om du er med i lammering (K3)</t>
  </si>
  <si>
    <r>
      <t xml:space="preserve"> </t>
    </r>
    <r>
      <rPr>
        <b/>
        <sz val="14"/>
        <color indexed="8"/>
        <rFont val="Arial"/>
        <family val="2"/>
      </rPr>
      <t>SONER FOR DISTRIKTSTILSKUDD FOR KJØTT</t>
    </r>
  </si>
  <si>
    <t>Sone 1</t>
  </si>
  <si>
    <t>Omfatter landet utenom sone 2 – 5.</t>
  </si>
  <si>
    <t>Sone 2</t>
  </si>
  <si>
    <t>Sone 2 for distriktstilskudd kjøtt omfatter produsenter i de nedenfor nevnte fylker, kommuner eller deler av kommuner.</t>
  </si>
  <si>
    <t>Østfold:</t>
  </si>
  <si>
    <t>Av Hvaler kommune: De områder av kommunen som ligger øst for Løperen.</t>
  </si>
  <si>
    <t>Vestfold:</t>
  </si>
  <si>
    <t>Av Nøtterøy kommune: Øyene Hvalø og Søndre Årø.</t>
  </si>
  <si>
    <t>Akershus:</t>
  </si>
  <si>
    <t>Hurdal kommune.</t>
  </si>
  <si>
    <t>Av Eidsvoll kommune: Tidligere Feiring herred og bruka øst og nord for Minnesund og ovenfor Tjernsmo.</t>
  </si>
  <si>
    <t>Av Nannestad kommune: Området vest og nord for en linje Herstua - Dal - Sjøvold til Hurdalsjøen og bruka nord for riksvei 120 fra Herstua til Borhaug.</t>
  </si>
  <si>
    <t>Hedmark:</t>
  </si>
  <si>
    <t>Kongsvinger, Nord-Odal, Eidskog, Grue, Åsnes, Våler, Elverum.</t>
  </si>
  <si>
    <t>Av Ringsaker kommune: Områdene ovenfor 350 m.o.h. og brukene i Brøttum sogn fra og med Freng og oppover. Brukene Ulven gnr. 393/1, Simenstad 138/1, Skyberg 225/1 og Båberg 134/1.</t>
  </si>
  <si>
    <t>Av Stange kommune: Hele kommunen med unntak av følgende område som er i sone 1: Området vest for ei linje fra Gjøvika nord for Tangen – Sørholte – Uthuskrysset, Maagardskrysset og derfra vest for veien til Løten grense ved Klevfoss.</t>
  </si>
  <si>
    <t>Av Løten kommune: Hele kommunen med unntak av følgende område som er i sone 1: Området sør og vest for linje Fv.115 fra Vangs grense til Heimdal og derfra rett sør til Aanestad-krysset, videre veien til Vealund og Brovoll, derfra nord for Svartelva til Romedal grense</t>
  </si>
  <si>
    <t>Av Hamar kommune: Områdene over 350 m.o.h. i tidligere Vang kommune.</t>
  </si>
  <si>
    <t>Av Stor-Elvdal, Åmot og Rendalen kommuner: De områder som ikke er nevnt under sone 3.</t>
  </si>
  <si>
    <t>Oppland:</t>
  </si>
  <si>
    <t>De områdene i kommunene Lesja, Dovre, Skjåk, Lom, Vang, Vestre Slidre, Øystre Slidre, Gausdal, Sør-Fron, Nord-Fron, Vågå, Sel, Ringebu, Nordre Land, Nord-Aurdal, Sør-Aurdal og Etnedal som ikke er nevnt under sone 3.</t>
  </si>
  <si>
    <t>Av Østre Toten kommune: Områdene ovenfor 350 m.o.h. og brukene Skjefstad 188/1, Rise 194/1, Rise søndre 194/10, Skinstad 198/3, Skinnestad 198/1 i Lensbygda og Olterud 206/2, Rødningsby 44/1, Byvegen 202/1 og Ravnsborg 201/7 på Skreia, samt Vestre Garder 189/4 og Kalrustad Vestre 122/1.</t>
  </si>
  <si>
    <t>Buskerud:</t>
  </si>
  <si>
    <t>Flå, Krødsherad, Flesberg, Rollag kommuner.</t>
  </si>
  <si>
    <t>Områdene i kommunene Nes, Gol, Nore og Uvdal som ikke er nevnt under sone 3.</t>
  </si>
  <si>
    <t>Av Sigdal kommune: Grenda Grønnhovd, Finnerudskogen, Grenskogen og Håsskogen. Området ovenfor Sandbråten.</t>
  </si>
  <si>
    <t>Av Kongsberg kommune: Jondalen, Meheia, Bevergrenda, Raumyr, Mykleområdet og Hoppestul.</t>
  </si>
  <si>
    <t>Av Øvre Eiker kommune: Lurdalen.</t>
  </si>
  <si>
    <t>Av Ringerike kommune: Ådal ned til Ringen. Soknedalen ned til Bårnås bru.</t>
  </si>
  <si>
    <t>Telemark:</t>
  </si>
  <si>
    <t>Hele fylket unntatt de områdene i kommunene Kviteseid, Fyresdal, Vinje, Tokke, Seljord, Hjartdal og Tinn som er nevnt under sone 3.</t>
  </si>
  <si>
    <t>Aust-Agder:</t>
  </si>
  <si>
    <t>Hele fylket unntatt Bykle og Valle kommune samt de bruk i Bygland kommune som er nevnt under sone 3.</t>
  </si>
  <si>
    <t>Vest-Agder:</t>
  </si>
  <si>
    <t>Hele fylket.</t>
  </si>
  <si>
    <t>Rogaland:</t>
  </si>
  <si>
    <t>Eigersund, Haugesund, Sokndal, Lund, Forsand, Strand, Hjelmeland, Suldal, Sauda, Finnøy, Kvitsøy, Bokn, Tysvær, Karmøy, Utsira og Vindafjord kommune.</t>
  </si>
  <si>
    <t>Av Bjerkreim kommune: Ørsdalen, Strandgardene langs Ørsdalsvatnet og heigardene Sundover, Austrumdal, Grøttedal, Gravdal, Hatteskaret, Skiftingsholen, Dalen, Tjørn, Hytland, Netland, Efteland og Åsen.</t>
  </si>
  <si>
    <t>Av Gjesdal kommune: Frafjord, Dirdal samt Mork. Øvre og Nedre Maudal, Byrkjedal og Øvstebødal.</t>
  </si>
  <si>
    <t>Av Sola kommune: Rott.</t>
  </si>
  <si>
    <t>Av Rennesøy kommune: Brimse.</t>
  </si>
  <si>
    <t>Hordaland:</t>
  </si>
  <si>
    <t>Hele fylket, unntatt de områdene som er nevnt under sone 3.</t>
  </si>
  <si>
    <t>Sogn og Fjordane:</t>
  </si>
  <si>
    <t>Møre og Romsdal:</t>
  </si>
  <si>
    <t>Sør-Trøndelag:</t>
  </si>
  <si>
    <t>Klæbu, Hemne, Snillfjord, Hitra, Frøya, Ørland, Agdenes, Rissa, Bjugn, Åfjord, Roan, Osen og Meldal kommuner.</t>
  </si>
  <si>
    <t>Av Holtålen, Midtre Gauldal, Selbu og Rennebu kommuner: De områdene som ikke er nevnt under sone 3.</t>
  </si>
  <si>
    <t>Av Malvik kommune: Mostadmarka og Nybrodalen.</t>
  </si>
  <si>
    <t>Av Trondheim kommune: Bratsberg krets og Jonsvatn krets.</t>
  </si>
  <si>
    <t>Av Melhus kommune: Området fra og med Kottum og sør for Holem. Området mellom Kvål til og med Røskaft unntatt sidedalene og de flatere terrasser ved Kvål som er i sone 1. Løksmyrene, gnr. 51/2, 50/2 og 13/1. Tidligere Hølonda herred og Tømmesdalen.</t>
  </si>
  <si>
    <t>Av Skaun kommune: Området ovenfor følgende grense: Bruka vest for elva Viggja fra grensa mot Orkdal. Fra Helbekken ved Viggja og østover mellom Lien og Engen, langs skogen ned til riksveg 65 mellom Nygården og Tinden. Grena følger så riksveg 65 til Eli-grense, langs vegen til fylkesveg 772 til Fossan. Derfra mellom bruka gnr. 148/1 og 151/1 ned til riksveg 709. Videre langs denne til Daløya. Derfra langs Børsaelva til grensa Hanberg 168/3 og videre mellom 168/1 og 168/3 over skogen til elva Meia som den følger nord til sjøen. Derfra går grensa østover langs sjøen til Hammerbekken til Nuvika, videre langs fylkesveg 801 til Snøfugl og videre sørøst til Saltnesberga, som den følger sør om Lykkja 6/5 og ned til elva Vigda. Følger elva videre nedover til Huseby, østover mellom gnr. 10/1 og 14/1 og sør og øst for tunet på Huseby og nord til sjøen. Bruket Østhus.</t>
  </si>
  <si>
    <t>Av Orkdal kommune: Hele kommunen unntatt bruka i dalbotnen som er i sone 1.</t>
  </si>
  <si>
    <t>Nord-Trøndelag:</t>
  </si>
  <si>
    <t>Namsos, Leksvik, Verran, Namdalseid, Snåsa, Grong, Høylandet, Overhalla, Fosnes, Flatanger, Vikna og Nærøy kommuner.</t>
  </si>
  <si>
    <t>Av Meråker kommune: Hele kommunen unntatt de områder som er nevnt under sone 3.</t>
  </si>
  <si>
    <t>Av Stjørdal kommune: Området ovenfor Einang fra og med Skjervdalen. Boråsgrenda samt resten av Forradalen fra og med Fordal bruk i Foradalen. Vassbygda ovenfor Mæla til og med Lundåsen. Øvre Lånke. Vigdenes krets. Åsanfeltet, Beitland og Buland. Ytteråsen og Øvre Langstein krets. Sunndal.</t>
  </si>
  <si>
    <t>Av Levanger kommune: Området utenfor Sveberg - Olden - Geirset - Kongshaug - Munkrødstad nedre - Fossen - Mostad - Matbergaunet - Sørmarka - Lund - Sunde øvre - Hojemstjønna - Elgseter - Reitan - Myrvang - langs Stokkavola til Avdal - Spilsetbakken - Brakstad - Hopla - Hamarøy - Furnes - Vestli - samt Slengsgrenda og bruket Vandvik</t>
  </si>
  <si>
    <t>69/10. Bruka i Ertsåsen ovenfor Slåttsve samt bureisingsbruka på bureisningsfeltet i Frol skogeiendommer. Buraune, bruka på Åsfjellet og bruka i Markabygda ovenfor Sjåstad.</t>
  </si>
  <si>
    <t>Av Frosta kommune: Området innenfor ei linje fra Ulviksveet til Fagerheim 42/1, langs Fv. 64 til Romma - Kvamme lille (inkludert Solvang, Volden, Kvamvold, Kvamstad og Kvamme lille) - langs Fv. 61 til Fossli + Sørengplassen og Aatlo – Helland,videre i rett linje til pkt. Frosta Statsalmenning - Levanger kommune. Fra dette punkt langs kommunegrensa til Lillevik 53/1.</t>
  </si>
  <si>
    <t>Av Verdal kommune: Området utenfor og ovenfor linja Gresset - Augla - Lyngåsen - Jermstad vestre - Brannhaug - Gudding nedre - Skjørdal - Sveberg, unntatt bruka i dalbotten og på elveterrassene vest for Vuku kirke som er i sone 1. Helgådalen overfor Ullvilla, samt bruka på Hellbakkene og Årstadbakkene. Bruka i Romsdalen og Åsan, Skavhaug og Kvernmo, Vera og Sul.</t>
  </si>
  <si>
    <t>Av Steinkjer kommune: Området i tidligere Kvam og Stod herreder og bruka i tidligere Beitstad herred unntatt Bartnes og Moen kretser, samt bruka i Austlid krets i tidligere Egge herred, samt bruka ovenfor Fossum Bruka i tidligere Ogndalen herred ovenfor Vibe - Oftenåsen. Av tidligere Sparbu herred: Skarpnes krets og bruka ovenfor linja Oftenåsen - Hofstad - Rygg - Svepstad - Rokka - Veiesdalen - Vådalsvatnet samt Trøgstad-grenda. Gaulstadgrenda.</t>
  </si>
  <si>
    <t>Av Inderøy kommune: Røflogrenda. Området innenfor en linje fra Skarnsundet til Tittinghalla - vegdelet ved Klepp - rett linje vegdelet til Ulstad til kryssing med veg Lyngstad/Reitensjøen ved Folsanden samt Kjelsås 41/1 og Vollan 21/1. Videre området innenfor en linje fra utløpet av Henjaelva i sjøen - Trondstadbakken - Dalengåsen - Sakshaugberg - Heggåsen - vegdelet Refsås/Rv. 761 - langs Rv. 761 - Gangstad - Korsen - langs Fv. 229 til grensa mellom Hembre/Vikan til sjøen. Bruket Åsvangen 40/2 og bruket Almenningen gnr. 75/1. Tidlegare Mosvik kommune.</t>
  </si>
  <si>
    <t>Sone 3</t>
  </si>
  <si>
    <t>Sone 3 for distriktstilskudd kjøtt omfatter produsenter i de nedenfor nevnte fylker, kommuner eller deler av kommuner.</t>
  </si>
  <si>
    <t>Os, Tolga, Tynset, Alvdal, Folldal, Engerdal og Trysil kommuner.</t>
  </si>
  <si>
    <t>Av Stor-Elvdal kommune: Sollia, Atna krets.</t>
  </si>
  <si>
    <t>Av Rendalen kommune: Midtskogen, Finstad, Undsetbrenna og Hanestad.</t>
  </si>
  <si>
    <t>Av Åmot kommune: Brukene i Osen-området nord og sør for Nyjord på Oskjølen.</t>
  </si>
  <si>
    <t>Dovre, Lesja, Vang, Vestre Slidre, Øystre Slidre og Etnedalen kommuner, og de bruk som sokner til vegen fra Øystre Slidre grense (Meisdalen) og ned til Døvrekrysset. Fodnesgrenda, Åbjør, Golsfjellet og Steinsetbygda.</t>
  </si>
  <si>
    <t>Av Skjåk kommune: Bråtå og Billingsdalen.</t>
  </si>
  <si>
    <t>Av Lom kommune: Bøverdalen ovenfor Røysheim.</t>
  </si>
  <si>
    <t>Av Sel kommune: Murudalen, Leirflaten, Lusæter, Tolstadåsen og Rostgrenda. Øverbygda (inkludert bruket N. Åseng gnr. 180/4) samt baksia (35 bruk sørvest for elva</t>
  </si>
  <si>
    <t>Sjoa) i Heidal og følgende områder i gamle Sel kommune: Selsverket over 400 m.o.h., Rusten, Solhjemslien gnr. 201/2, Liagrenda og Ottadalen over 400 m.o.h. Bruket Gringstuen gnr. 276/3.</t>
  </si>
  <si>
    <t>Av Nord-Fron kommune: Skåbu og Tverrbygda, Lauåsfeltet og Kvikne.</t>
  </si>
  <si>
    <t>Av Sør-Fron kommune: Espedalen, Kvarvet og Øverbygda.</t>
  </si>
  <si>
    <t>Av Gausdal kommune: Espedalen, Olstad nord for Dørja og Nedre Svatsum. Øvre Svatsum.</t>
  </si>
  <si>
    <t>Av Vågå kommune: Synstlien, Skårvangen, Øvregardene, Øvre Nordherad, Skogbygda.</t>
  </si>
  <si>
    <t>Av Ringebu kommune: Venabygda til Rudi og Brekkom. Imsdalen.</t>
  </si>
  <si>
    <t>Av Nordre Land: Nord-Torpa, Skinnerlibygda, Skartlien og Vest-Torpa.</t>
  </si>
  <si>
    <t>Av Nord-Aurdal: Bruk som sokner til vegen fra Øystre Slidres grense (Meisdalen) og ned til Døvrekrysset. Områdene Fodnesgrenda, Åbjør, Golsfjellet og Steinsetbygda. Av Sør-Aurdal kommune: Leirskogen.</t>
  </si>
  <si>
    <t>Hemsedal, Ål og Hol kommuner.</t>
  </si>
  <si>
    <t>Av Gol kommune: Grønlia.</t>
  </si>
  <si>
    <t>Av Nes kommune: Rukkedalen, Børtnes-ødegårdene, Garnås, Liagårdene og Haugaplassgrenda. Nes Saueavlslag.</t>
  </si>
  <si>
    <t>Av Nore og Uvdal kommune: Alle sidedalene og hoveddalføret overfor Dokkebergfossen.</t>
  </si>
  <si>
    <t>Tinn, Vinje og Tokke kommune.</t>
  </si>
  <si>
    <t>Av Hjartdal kommune: Tuddal sokn.</t>
  </si>
  <si>
    <t>Av Seljord kommune: Åmotsdal sokn og Svartdal til og med brukene som sokner til Natadalsvegen. Åsan-gårdene.</t>
  </si>
  <si>
    <t>Av Kviteseid kommune: Brunkeberg sokn og bruket Hovdekleiv.</t>
  </si>
  <si>
    <t>Av Fyresdal kommune: Kleivgrend, Åslandsgrend, Birtedalen og området Fjellgardane.</t>
  </si>
  <si>
    <r>
      <t>Aust-Agder</t>
    </r>
    <r>
      <rPr>
        <sz val="10"/>
        <color indexed="8"/>
        <rFont val="Arial"/>
        <family val="2"/>
      </rPr>
      <t>:</t>
    </r>
  </si>
  <si>
    <t>Bykle og Valle kommune.</t>
  </si>
  <si>
    <t>Bygland kommune: brukene Nedre Gakkestad 21/2, Lidtveit 22/1, Lidtveit 22/2, Lidtveit 22/3 og Haugetveit 23/1.</t>
  </si>
  <si>
    <t>Bømlo, Austevoll, Sund, Fjell, Askøy, Meland, Øygarden, Radøy, Lindås, Fedje, Austrheim og Masfjorden.</t>
  </si>
  <si>
    <t>Av Odda: Området opp og øst for Skare.</t>
  </si>
  <si>
    <t>Av Eidfjord: Øvre Eidfjord.</t>
  </si>
  <si>
    <t>Vaksdal: Bergsdalen og Øvre Eksingedalen.</t>
  </si>
  <si>
    <t>Av Voss: Vossestrand nord og øst for Vinje. Raundalen opp for Klyve, Bordalen opp for</t>
  </si>
  <si>
    <t>Fære/Rio og området vest for Bulken, Helgaset, Hildestveit, Øvre Fenne og Bulko.</t>
  </si>
  <si>
    <t>Gulen, Solund, Hyllestad, Askvoll, Fjaler, Flora, Bremanger, Vågsøy og Selje.</t>
  </si>
  <si>
    <t>Av Gaular kommune: De områder som tidligere tilhørte Fjaler kommune.</t>
  </si>
  <si>
    <t>Av Luster: Veitastrond og Jostedalen.</t>
  </si>
  <si>
    <t>Vanylven, Sande, Herøy, Sandøy, Midsund, Smøla og Aure.</t>
  </si>
  <si>
    <t>Av Volda: Hele sørsida av Voldsfjorden. Austefjordområdet med avgrensing på nordsiden t.o.m. Hjartåbygda.</t>
  </si>
  <si>
    <t>Av Ørsta: Tidligere Hjørundfjord kommune med unntak av Bondalen.</t>
  </si>
  <si>
    <t>Av Haram: Fjørtoft.</t>
  </si>
  <si>
    <t>Av Stranda: Tidligere Synnylven kommune med Geiranger. Fausadal og Liabygda.</t>
  </si>
  <si>
    <t>Av Norddal: Brukene Lingås gnr. 2/1,2,6 og Muriås 3/1. Ellers hele kommunen med unntak av Valldal opp til Furneset.</t>
  </si>
  <si>
    <t>Av Stordal: Hele kommunen med unntak av strekningen fra Stordal sentrum til Vad bru.</t>
  </si>
  <si>
    <t>Av Rauma: Strekningen fra Foss til Oppland grense.</t>
  </si>
  <si>
    <t>Av Molde: Sekken.</t>
  </si>
  <si>
    <t>Av Nesset: Eikesdal og sidene av Eikesdalsvatnet.</t>
  </si>
  <si>
    <t>Av Rindal: Romundstadbygda. Grønlifeltet overfor Grønlia. Fjellet og brukene øst for Halgunset (gnr. 49). Rørdalen. Bruket Fossdal gnr. 62/3.</t>
  </si>
  <si>
    <t>Av Sunndal: Brukene Jenstad, Hafsås og Svisdal.</t>
  </si>
  <si>
    <t>Av Surnadal: Bøverdalen ned til og med Myrholt.</t>
  </si>
  <si>
    <t>Av Gjemnes: Osmarka og Brakstadbygda.</t>
  </si>
  <si>
    <t>Røros, Tydal og Oppdal kommuner.</t>
  </si>
  <si>
    <t>Av Holtålen kommune: Aunegrenda, garden Stor-Olagården og gamle Ålen herred.</t>
  </si>
  <si>
    <t>Av Rennebu kommune: Nerskogen og alle bruk ovenfor Skjepphaug. Meås gnr. 152.</t>
  </si>
  <si>
    <t>Av Midtre Gauldal kommune: Budalen og Haukas dalføre i Soknedal sør for Økdal og Bjerkenes.</t>
  </si>
  <si>
    <t>Av Selbu kommune: Nekåbjørgen og Flora</t>
  </si>
  <si>
    <t>Røyrvik, Lierne, Leka og Namsskogan kommuner.</t>
  </si>
  <si>
    <t>Meråker: Torsbjørkdalen overfor Tømmeråseggen, Stordalen t.o.m. Øian, Teveldalen t.o.m. Tovmodalen, Bjørkslettet og Fersdalen.</t>
  </si>
  <si>
    <t>Sone 4</t>
  </si>
  <si>
    <t>Sone 4 for distriktstilskudd kjøtt omfatter produsenter i de nedenfor nevnte fylker, kommuner eller deler av kommuner.</t>
  </si>
  <si>
    <t>Nordland:</t>
  </si>
  <si>
    <t>Troms:</t>
  </si>
  <si>
    <t>Hele fylket unntatt områdene i sone 5.</t>
  </si>
  <si>
    <t>Sone 5</t>
  </si>
  <si>
    <t>Sone 5 for distriktstilskudd kjøtt omfatter produsenter i de nedenfor nevnte fylker, kommuner eller deler av kommuner.</t>
  </si>
  <si>
    <t>Karlsøy, Lyngen, Storfjord, Kåfjord, Skjervøy, Nordreisa og Kvænangen kommuner.</t>
  </si>
  <si>
    <t>Av Tromsø kommune: Ullsfjord og Aldervik og øyene Vengsøya, Musvær, Risøy og Sandøya. Kommunens del av Rebbenesøy, Ringvassøy og Renøy.</t>
  </si>
  <si>
    <t>Av Balsfjord kommune: Lakselvdalen. Tamokdalen. (Tilskuddsgrensa sørover er satt ved kommunegrensa til Målselv, og tilskuddsgrensa nordover er satt nederst i dalen i et område uten bebyggelse.)</t>
  </si>
  <si>
    <t>Finnmark:</t>
  </si>
  <si>
    <t>Hele fylket</t>
  </si>
  <si>
    <t>Til å dekke arbeid og kostnader pr lam</t>
  </si>
  <si>
    <t>Slaktemodent lam</t>
  </si>
  <si>
    <t>Forventa vekttrekk/tillegg</t>
  </si>
  <si>
    <t>Tal dagar sluttfôring</t>
  </si>
  <si>
    <t>Forventa kvalitetstilskot</t>
  </si>
  <si>
    <t>Kvalitetstilskot</t>
  </si>
  <si>
    <t>Sjå på forventa slaktevekt (celle E6) og vurder sannsynleg Stjernelamtillegg, Gourmetlamtillegg, feittrekk, tillegg/trekk for klasse over under R, kvalitetstillegg og puljestorleik (sjå tabellane i arket)</t>
  </si>
  <si>
    <t>Sjå på forventa slaktevekt i planlagt slakteveke (celle E7) og vurder sannsynleg Stjernelamtillegg, Gourmetlamtillegg, feittrekk, tillegg/trekk for klasse over under R, kvalitetstillegg og puljestorleik</t>
  </si>
  <si>
    <t xml:space="preserve">Arket bereknar sjøl prisendring pga vekt. Vi har også teke med grunntilskotet (ca kr 4) som ikkje blir betalt for lam under 13 kg </t>
  </si>
  <si>
    <t>Slaktevekt</t>
  </si>
  <si>
    <t>15,1 og meir</t>
  </si>
  <si>
    <t>Klasse O+ og betre</t>
  </si>
  <si>
    <t>Fettgruppe</t>
  </si>
  <si>
    <t>1+,2-,2,2+,3-,3</t>
  </si>
  <si>
    <t>Berekning av kvantumstillegg etter produksjon og buskapsstorleik</t>
  </si>
  <si>
    <t>Raude tal kan endrast</t>
  </si>
  <si>
    <t>Intervall</t>
  </si>
  <si>
    <t xml:space="preserve">Tal om hausten </t>
  </si>
  <si>
    <t xml:space="preserve">% påsett </t>
  </si>
  <si>
    <t xml:space="preserve">Slaktevekt </t>
  </si>
  <si>
    <t>pr para søye</t>
  </si>
  <si>
    <t>sau</t>
  </si>
  <si>
    <t>Fra kvantum</t>
  </si>
  <si>
    <t>Til kvantum</t>
  </si>
  <si>
    <t>kr pr kg</t>
  </si>
  <si>
    <t>Kvantums-</t>
  </si>
  <si>
    <t xml:space="preserve">Tal søyer </t>
  </si>
  <si>
    <t>Tal slakta lam pr søye</t>
  </si>
  <si>
    <t>Kg lammeslakt</t>
  </si>
  <si>
    <t>Kg søyeslakt</t>
  </si>
  <si>
    <t>Årleg kvantum</t>
  </si>
  <si>
    <t>Sats</t>
  </si>
  <si>
    <t>tillegg</t>
  </si>
  <si>
    <t>Klasse R og betre</t>
  </si>
  <si>
    <t>Resultat pr klasse 2024</t>
  </si>
  <si>
    <t>15-49</t>
  </si>
  <si>
    <t>50-99</t>
  </si>
  <si>
    <t>100-149</t>
  </si>
  <si>
    <t>150-189</t>
  </si>
  <si>
    <t>190 og meir</t>
  </si>
  <si>
    <t xml:space="preserve">% svinn </t>
  </si>
  <si>
    <t xml:space="preserve">Arket "Kvantumskalkularen" kan brukast til å finne aktuell kvantumsgruppe </t>
  </si>
  <si>
    <t>lam, kg</t>
  </si>
  <si>
    <t>sau, kg</t>
  </si>
  <si>
    <t>31-33</t>
  </si>
  <si>
    <t>34-35</t>
  </si>
  <si>
    <t>36-38</t>
  </si>
  <si>
    <t>39-44</t>
  </si>
  <si>
    <t>16,1kg  og meir</t>
  </si>
  <si>
    <t>Resultat pr fettgruppe 2024</t>
  </si>
  <si>
    <t>Slakteoppgjerskalkulatoren 2025</t>
  </si>
  <si>
    <t>Brukar-rettleiing slakteoppgjerskalkulatoren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</si>
</sst>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kr&quot;\ #,##0;[Red]\-&quot;kr&quot;\ #,##0"/>
    <numFmt numFmtId="8" formatCode="&quot;kr&quot;\ #,##0.00;[Red]\-&quot;kr&quot;\ #,##0.00"/>
    <numFmt numFmtId="164" formatCode="&quot;kr&quot;\ #,##0.00;[Red]&quot;kr&quot;\ \-#,##0.00"/>
    <numFmt numFmtId="165" formatCode="_(&quot;kr&quot;\ * #,##0.00_);_(&quot;kr&quot;\ * \(#,##0.00\);_(&quot;kr&quot;\ * &quot;-&quot;??_);_(@_)"/>
    <numFmt numFmtId="166" formatCode="0.0"/>
    <numFmt numFmtId="167" formatCode="&quot;kr&quot;\ #,##0"/>
    <numFmt numFmtId="168" formatCode="&quot;kr&quot;\ #,##0.00"/>
    <numFmt numFmtId="169" formatCode="&quot;kr&quot;\ #,##0.0"/>
    <numFmt numFmtId="170" formatCode="d/m/;@"/>
    <numFmt numFmtId="171" formatCode="_(&quot;kr&quot;\ * #,##0.0_);_(&quot;kr&quot;\ * \(#,##0.0\);_(&quot;kr&quot;\ * &quot;-&quot;??_);_(@_)"/>
  </numFmts>
  <fonts count="27" x14ac:knownFonts="1">
    <font>
      <sz val="10"/>
      <name val="Arial"/>
    </font>
    <font>
      <sz val="10"/>
      <name val="Arial"/>
      <family val="2"/>
    </font>
    <font>
      <sz val="8"/>
      <name val="Arial"/>
      <family val="2"/>
    </font>
    <font>
      <b/>
      <sz val="10"/>
      <name val="Arial"/>
      <family val="2"/>
    </font>
    <font>
      <sz val="10"/>
      <color indexed="15"/>
      <name val="Arial"/>
      <family val="2"/>
    </font>
    <font>
      <b/>
      <sz val="26"/>
      <name val="Arial"/>
      <family val="2"/>
    </font>
    <font>
      <sz val="14"/>
      <name val="Arial"/>
      <family val="2"/>
    </font>
    <font>
      <b/>
      <u/>
      <sz val="10"/>
      <name val="Arial"/>
      <family val="2"/>
    </font>
    <font>
      <sz val="10"/>
      <name val="Arial"/>
      <family val="2"/>
    </font>
    <font>
      <sz val="10"/>
      <name val="Arial"/>
      <family val="2"/>
    </font>
    <font>
      <b/>
      <sz val="14"/>
      <color indexed="8"/>
      <name val="Arial"/>
      <family val="2"/>
    </font>
    <font>
      <sz val="10"/>
      <color indexed="8"/>
      <name val="Arial"/>
      <family val="2"/>
    </font>
    <font>
      <sz val="10"/>
      <name val="Times New Roman"/>
      <family val="1"/>
    </font>
    <font>
      <sz val="12"/>
      <name val="Arial"/>
      <family val="2"/>
    </font>
    <font>
      <sz val="10"/>
      <name val="Courier"/>
      <family val="3"/>
    </font>
    <font>
      <sz val="11"/>
      <color theme="1"/>
      <name val="Calibri"/>
      <family val="2"/>
      <scheme val="minor"/>
    </font>
    <font>
      <u/>
      <sz val="12"/>
      <color theme="10"/>
      <name val="Arial"/>
      <family val="2"/>
    </font>
    <font>
      <b/>
      <sz val="11"/>
      <color theme="1"/>
      <name val="Calibri"/>
      <family val="2"/>
      <scheme val="minor"/>
    </font>
    <font>
      <sz val="12"/>
      <color rgb="FF000000"/>
      <name val="Arial"/>
      <family val="2"/>
    </font>
    <font>
      <b/>
      <sz val="11"/>
      <color rgb="FF000000"/>
      <name val="Arial"/>
      <family val="2"/>
    </font>
    <font>
      <sz val="10"/>
      <color rgb="FF000000"/>
      <name val="Arial"/>
      <family val="2"/>
    </font>
    <font>
      <b/>
      <u/>
      <sz val="10"/>
      <color rgb="FF000000"/>
      <name val="Arial"/>
      <family val="2"/>
    </font>
    <font>
      <b/>
      <sz val="14"/>
      <color theme="1"/>
      <name val="Calibri"/>
      <family val="2"/>
      <scheme val="minor"/>
    </font>
    <font>
      <sz val="11"/>
      <color rgb="FF00B0F0"/>
      <name val="Calibri"/>
      <family val="2"/>
      <scheme val="minor"/>
    </font>
    <font>
      <b/>
      <sz val="11"/>
      <color rgb="FFFF0000"/>
      <name val="Calibri"/>
      <family val="2"/>
      <scheme val="minor"/>
    </font>
    <font>
      <b/>
      <sz val="14"/>
      <color rgb="FFFF0000"/>
      <name val="Calibri"/>
      <family val="2"/>
      <scheme val="minor"/>
    </font>
    <font>
      <sz val="14"/>
      <color theme="1"/>
      <name val="Calibri"/>
      <family val="2"/>
      <scheme val="minor"/>
    </font>
  </fonts>
  <fills count="7">
    <fill>
      <patternFill patternType="none"/>
    </fill>
    <fill>
      <patternFill patternType="gray125"/>
    </fill>
    <fill>
      <patternFill patternType="solid">
        <fgColor indexed="15"/>
        <bgColor indexed="64"/>
      </patternFill>
    </fill>
    <fill>
      <patternFill patternType="solid">
        <fgColor indexed="43"/>
        <bgColor indexed="64"/>
      </patternFill>
    </fill>
    <fill>
      <patternFill patternType="solid">
        <fgColor indexed="49"/>
        <bgColor indexed="64"/>
      </patternFill>
    </fill>
    <fill>
      <patternFill patternType="solid">
        <fgColor rgb="FFFFFF99"/>
        <bgColor indexed="64"/>
      </patternFill>
    </fill>
    <fill>
      <patternFill patternType="solid">
        <fgColor rgb="FF00B0F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7">
    <xf numFmtId="0" fontId="0" fillId="0" borderId="0"/>
    <xf numFmtId="0" fontId="16" fillId="0" borderId="0" applyNumberFormat="0" applyFill="0" applyBorder="0" applyAlignment="0" applyProtection="0"/>
    <xf numFmtId="0" fontId="15" fillId="0" borderId="0"/>
    <xf numFmtId="0" fontId="8"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15" fillId="0" borderId="0"/>
    <xf numFmtId="0" fontId="13" fillId="0" borderId="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4" fillId="0" borderId="0"/>
  </cellStyleXfs>
  <cellXfs count="155">
    <xf numFmtId="0" fontId="0" fillId="0" borderId="0" xfId="0"/>
    <xf numFmtId="2" fontId="0" fillId="0" borderId="0" xfId="0" applyNumberFormat="1"/>
    <xf numFmtId="0" fontId="0" fillId="2" borderId="0" xfId="0" applyFill="1"/>
    <xf numFmtId="1" fontId="0" fillId="2" borderId="0" xfId="0" applyNumberFormat="1" applyFill="1"/>
    <xf numFmtId="0" fontId="0" fillId="0" borderId="1" xfId="0" applyBorder="1"/>
    <xf numFmtId="0" fontId="0" fillId="3" borderId="2" xfId="0" applyFill="1" applyBorder="1"/>
    <xf numFmtId="0" fontId="0" fillId="3" borderId="3" xfId="0" applyFill="1" applyBorder="1"/>
    <xf numFmtId="0" fontId="0" fillId="3" borderId="0" xfId="0" applyFill="1"/>
    <xf numFmtId="0" fontId="0" fillId="3" borderId="4" xfId="0" applyFill="1" applyBorder="1"/>
    <xf numFmtId="0" fontId="0" fillId="3" borderId="5" xfId="0" applyFill="1" applyBorder="1"/>
    <xf numFmtId="0" fontId="3" fillId="2" borderId="0" xfId="0" applyFont="1" applyFill="1"/>
    <xf numFmtId="0" fontId="3" fillId="3" borderId="6" xfId="0" applyFont="1" applyFill="1" applyBorder="1"/>
    <xf numFmtId="0" fontId="3" fillId="3" borderId="2" xfId="0" applyFont="1" applyFill="1" applyBorder="1"/>
    <xf numFmtId="0" fontId="3" fillId="3" borderId="3" xfId="0" applyFont="1" applyFill="1" applyBorder="1"/>
    <xf numFmtId="0" fontId="0" fillId="3" borderId="7" xfId="0" applyFill="1" applyBorder="1"/>
    <xf numFmtId="0" fontId="0" fillId="3" borderId="7" xfId="0" applyFill="1" applyBorder="1" applyAlignment="1">
      <alignment horizontal="left" indent="1"/>
    </xf>
    <xf numFmtId="0" fontId="0" fillId="3" borderId="5" xfId="0" applyFill="1" applyBorder="1" applyAlignment="1">
      <alignment horizontal="left" indent="1"/>
    </xf>
    <xf numFmtId="0" fontId="0" fillId="3" borderId="8" xfId="0" applyFill="1" applyBorder="1"/>
    <xf numFmtId="0" fontId="0" fillId="2" borderId="7" xfId="0" applyFill="1" applyBorder="1"/>
    <xf numFmtId="0" fontId="0" fillId="2" borderId="9" xfId="0" applyFill="1" applyBorder="1"/>
    <xf numFmtId="0" fontId="4" fillId="2" borderId="0" xfId="0" applyFont="1" applyFill="1"/>
    <xf numFmtId="167" fontId="3" fillId="3" borderId="0" xfId="0" applyNumberFormat="1" applyFont="1" applyFill="1"/>
    <xf numFmtId="2" fontId="0" fillId="0" borderId="0" xfId="0" applyNumberFormat="1" applyAlignment="1">
      <alignment horizontal="left" indent="1"/>
    </xf>
    <xf numFmtId="0" fontId="0" fillId="0" borderId="0" xfId="0" applyAlignment="1">
      <alignment horizontal="left" indent="1"/>
    </xf>
    <xf numFmtId="0" fontId="3" fillId="3" borderId="6" xfId="0" applyFont="1" applyFill="1" applyBorder="1" applyAlignment="1">
      <alignment horizontal="center"/>
    </xf>
    <xf numFmtId="0" fontId="3" fillId="3" borderId="7" xfId="0" applyFont="1" applyFill="1" applyBorder="1" applyAlignment="1">
      <alignment horizontal="center"/>
    </xf>
    <xf numFmtId="0" fontId="3" fillId="3" borderId="5" xfId="0" applyFont="1" applyFill="1" applyBorder="1" applyAlignment="1">
      <alignment horizontal="center"/>
    </xf>
    <xf numFmtId="0" fontId="0" fillId="2" borderId="0" xfId="0" applyFill="1" applyAlignment="1">
      <alignment horizontal="left" indent="1"/>
    </xf>
    <xf numFmtId="0" fontId="3" fillId="3" borderId="5" xfId="0" applyFont="1" applyFill="1" applyBorder="1"/>
    <xf numFmtId="0" fontId="3" fillId="3" borderId="9" xfId="0" applyFont="1" applyFill="1" applyBorder="1"/>
    <xf numFmtId="165" fontId="0" fillId="3" borderId="0" xfId="0" applyNumberFormat="1" applyFill="1" applyAlignment="1">
      <alignment horizontal="left" indent="1"/>
    </xf>
    <xf numFmtId="168" fontId="0" fillId="3" borderId="4" xfId="0" applyNumberFormat="1" applyFill="1" applyBorder="1"/>
    <xf numFmtId="168" fontId="0" fillId="3" borderId="8" xfId="0" applyNumberFormat="1" applyFill="1" applyBorder="1"/>
    <xf numFmtId="169" fontId="0" fillId="3" borderId="0" xfId="0" applyNumberFormat="1" applyFill="1"/>
    <xf numFmtId="169" fontId="0" fillId="3" borderId="9" xfId="0" applyNumberFormat="1" applyFill="1" applyBorder="1"/>
    <xf numFmtId="0" fontId="3" fillId="0" borderId="1" xfId="0" applyFont="1" applyBorder="1"/>
    <xf numFmtId="166" fontId="0" fillId="3" borderId="1" xfId="0" applyNumberFormat="1" applyFill="1" applyBorder="1"/>
    <xf numFmtId="9" fontId="0" fillId="0" borderId="1" xfId="13" applyFont="1" applyBorder="1"/>
    <xf numFmtId="166" fontId="0" fillId="0" borderId="1" xfId="0" applyNumberFormat="1" applyBorder="1"/>
    <xf numFmtId="0" fontId="5" fillId="2" borderId="0" xfId="0" applyFont="1" applyFill="1"/>
    <xf numFmtId="167" fontId="0" fillId="3" borderId="0" xfId="0" applyNumberFormat="1" applyFill="1" applyAlignment="1">
      <alignment horizontal="left" indent="2"/>
    </xf>
    <xf numFmtId="167" fontId="0" fillId="3" borderId="9" xfId="0" applyNumberFormat="1" applyFill="1" applyBorder="1" applyAlignment="1">
      <alignment horizontal="left" indent="2"/>
    </xf>
    <xf numFmtId="166" fontId="3" fillId="3" borderId="7" xfId="0" applyNumberFormat="1" applyFont="1" applyFill="1" applyBorder="1" applyAlignment="1">
      <alignment horizontal="left" indent="2"/>
    </xf>
    <xf numFmtId="166" fontId="3" fillId="3" borderId="5" xfId="0" applyNumberFormat="1" applyFont="1" applyFill="1" applyBorder="1" applyAlignment="1">
      <alignment horizontal="left" indent="2"/>
    </xf>
    <xf numFmtId="170" fontId="0" fillId="3" borderId="4" xfId="0" applyNumberFormat="1" applyFill="1" applyBorder="1" applyAlignment="1">
      <alignment horizontal="left" indent="1"/>
    </xf>
    <xf numFmtId="0" fontId="3" fillId="3" borderId="7" xfId="0" applyFont="1" applyFill="1" applyBorder="1"/>
    <xf numFmtId="166" fontId="3" fillId="3" borderId="0" xfId="0" applyNumberFormat="1" applyFont="1" applyFill="1"/>
    <xf numFmtId="0" fontId="3" fillId="3" borderId="0" xfId="0" applyFont="1" applyFill="1"/>
    <xf numFmtId="0" fontId="3" fillId="3" borderId="4" xfId="0" applyFont="1" applyFill="1" applyBorder="1"/>
    <xf numFmtId="170" fontId="0" fillId="3" borderId="8" xfId="0" applyNumberFormat="1" applyFill="1" applyBorder="1" applyAlignment="1">
      <alignment horizontal="left" indent="1"/>
    </xf>
    <xf numFmtId="168" fontId="0" fillId="3" borderId="0" xfId="0" applyNumberFormat="1" applyFill="1" applyAlignment="1">
      <alignment horizontal="left" indent="1"/>
    </xf>
    <xf numFmtId="168" fontId="0" fillId="3" borderId="9" xfId="0" applyNumberFormat="1" applyFill="1" applyBorder="1" applyAlignment="1">
      <alignment horizontal="left" indent="1"/>
    </xf>
    <xf numFmtId="0" fontId="3" fillId="2" borderId="0" xfId="0" applyFont="1" applyFill="1" applyAlignment="1">
      <alignment horizontal="right"/>
    </xf>
    <xf numFmtId="170" fontId="0" fillId="2" borderId="0" xfId="0" applyNumberFormat="1" applyFill="1" applyAlignment="1">
      <alignment horizontal="left" indent="1"/>
    </xf>
    <xf numFmtId="0" fontId="3" fillId="2" borderId="7" xfId="0" applyFont="1" applyFill="1" applyBorder="1"/>
    <xf numFmtId="168" fontId="0" fillId="2" borderId="7" xfId="0" applyNumberFormat="1" applyFill="1" applyBorder="1"/>
    <xf numFmtId="0" fontId="3" fillId="3" borderId="2" xfId="0" applyFont="1" applyFill="1" applyBorder="1" applyAlignment="1">
      <alignment horizontal="center"/>
    </xf>
    <xf numFmtId="0" fontId="0" fillId="3" borderId="0" xfId="0" applyFill="1" applyAlignment="1">
      <alignment horizontal="center"/>
    </xf>
    <xf numFmtId="0" fontId="3" fillId="3" borderId="0" xfId="0" applyFont="1" applyFill="1" applyAlignment="1">
      <alignment horizontal="center"/>
    </xf>
    <xf numFmtId="0" fontId="3" fillId="2" borderId="0" xfId="0" applyFont="1" applyFill="1" applyAlignment="1">
      <alignment horizontal="left" indent="3"/>
    </xf>
    <xf numFmtId="169" fontId="0" fillId="3" borderId="0" xfId="0" applyNumberFormat="1" applyFill="1" applyAlignment="1">
      <alignment horizontal="left" indent="2"/>
    </xf>
    <xf numFmtId="168" fontId="0" fillId="3" borderId="1" xfId="0" applyNumberFormat="1" applyFill="1" applyBorder="1"/>
    <xf numFmtId="168" fontId="0" fillId="0" borderId="1" xfId="0" applyNumberFormat="1" applyBorder="1"/>
    <xf numFmtId="0" fontId="3" fillId="0" borderId="0" xfId="0" applyFont="1"/>
    <xf numFmtId="0" fontId="0" fillId="4" borderId="0" xfId="0" applyFill="1"/>
    <xf numFmtId="0" fontId="6" fillId="3" borderId="0" xfId="0" applyFont="1" applyFill="1"/>
    <xf numFmtId="3" fontId="0" fillId="0" borderId="1" xfId="0" applyNumberFormat="1" applyBorder="1"/>
    <xf numFmtId="0" fontId="7" fillId="0" borderId="0" xfId="0" applyFont="1"/>
    <xf numFmtId="169" fontId="3" fillId="3" borderId="4" xfId="0" applyNumberFormat="1" applyFont="1" applyFill="1" applyBorder="1"/>
    <xf numFmtId="0" fontId="9" fillId="0" borderId="0" xfId="0" applyFont="1"/>
    <xf numFmtId="0" fontId="3" fillId="5" borderId="6" xfId="0" applyFont="1" applyFill="1" applyBorder="1" applyAlignment="1">
      <alignment horizontal="center"/>
    </xf>
    <xf numFmtId="0" fontId="3" fillId="5" borderId="2" xfId="0" applyFont="1" applyFill="1" applyBorder="1"/>
    <xf numFmtId="0" fontId="0" fillId="3" borderId="4" xfId="0" applyFill="1" applyBorder="1" applyAlignment="1">
      <alignment horizontal="right" indent="1"/>
    </xf>
    <xf numFmtId="0" fontId="3" fillId="5" borderId="0" xfId="0" applyFont="1" applyFill="1" applyAlignment="1">
      <alignment horizontal="center"/>
    </xf>
    <xf numFmtId="0" fontId="3" fillId="5" borderId="9" xfId="0" applyFont="1" applyFill="1" applyBorder="1" applyAlignment="1">
      <alignment horizontal="center"/>
    </xf>
    <xf numFmtId="0" fontId="0" fillId="3" borderId="8" xfId="0" applyFill="1" applyBorder="1" applyAlignment="1">
      <alignment horizontal="right" indent="1"/>
    </xf>
    <xf numFmtId="0" fontId="3" fillId="3" borderId="6" xfId="0" applyFont="1" applyFill="1" applyBorder="1" applyAlignment="1">
      <alignment horizontal="left" indent="1"/>
    </xf>
    <xf numFmtId="0" fontId="3" fillId="3" borderId="7" xfId="0" applyFont="1" applyFill="1" applyBorder="1" applyAlignment="1">
      <alignment horizontal="left" indent="1"/>
    </xf>
    <xf numFmtId="0" fontId="3" fillId="3" borderId="5" xfId="0" applyFont="1" applyFill="1" applyBorder="1" applyAlignment="1">
      <alignment horizontal="left" indent="1"/>
    </xf>
    <xf numFmtId="0" fontId="3" fillId="3" borderId="3" xfId="0" applyFont="1" applyFill="1" applyBorder="1" applyAlignment="1">
      <alignment horizontal="right" indent="1"/>
    </xf>
    <xf numFmtId="0" fontId="8" fillId="0" borderId="0" xfId="0" applyFont="1"/>
    <xf numFmtId="168" fontId="3" fillId="3" borderId="2" xfId="0" applyNumberFormat="1" applyFont="1" applyFill="1" applyBorder="1" applyAlignment="1">
      <alignment horizontal="right"/>
    </xf>
    <xf numFmtId="3" fontId="0" fillId="3" borderId="0" xfId="0" applyNumberFormat="1" applyFill="1"/>
    <xf numFmtId="3" fontId="0" fillId="3" borderId="9" xfId="0" applyNumberFormat="1" applyFill="1" applyBorder="1"/>
    <xf numFmtId="169" fontId="3" fillId="3" borderId="8" xfId="0" applyNumberFormat="1" applyFont="1" applyFill="1" applyBorder="1"/>
    <xf numFmtId="166" fontId="0" fillId="3" borderId="0" xfId="0" applyNumberFormat="1" applyFill="1"/>
    <xf numFmtId="166" fontId="0" fillId="3" borderId="9" xfId="0" applyNumberFormat="1" applyFill="1" applyBorder="1"/>
    <xf numFmtId="167" fontId="0" fillId="0" borderId="1" xfId="0" applyNumberFormat="1" applyBorder="1"/>
    <xf numFmtId="0" fontId="3" fillId="0" borderId="10" xfId="0" applyFont="1" applyBorder="1"/>
    <xf numFmtId="0" fontId="3" fillId="0" borderId="11" xfId="0" applyFont="1" applyBorder="1"/>
    <xf numFmtId="0" fontId="0" fillId="0" borderId="10" xfId="0" applyBorder="1"/>
    <xf numFmtId="0" fontId="3" fillId="0" borderId="12" xfId="0" applyFont="1" applyBorder="1"/>
    <xf numFmtId="167" fontId="0" fillId="0" borderId="12" xfId="0" applyNumberFormat="1" applyBorder="1"/>
    <xf numFmtId="167" fontId="0" fillId="0" borderId="11" xfId="0" applyNumberFormat="1" applyBorder="1"/>
    <xf numFmtId="0" fontId="3" fillId="0" borderId="11" xfId="0" applyFont="1" applyBorder="1" applyAlignment="1">
      <alignment horizont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horizontal="left" vertical="center" indent="3"/>
    </xf>
    <xf numFmtId="0" fontId="20" fillId="0" borderId="0" xfId="0" applyFont="1" applyAlignment="1">
      <alignment horizontal="left" vertical="center" indent="2"/>
    </xf>
    <xf numFmtId="0" fontId="21" fillId="0" borderId="0" xfId="0" applyFont="1" applyAlignment="1">
      <alignment horizontal="left" vertical="center" indent="2"/>
    </xf>
    <xf numFmtId="0" fontId="20" fillId="0" borderId="0" xfId="0" applyFont="1" applyAlignment="1">
      <alignment horizontal="left" vertical="center" indent="4"/>
    </xf>
    <xf numFmtId="0" fontId="12" fillId="0" borderId="0" xfId="0" applyFont="1"/>
    <xf numFmtId="166" fontId="3" fillId="0" borderId="11" xfId="0" applyNumberFormat="1" applyFont="1" applyBorder="1" applyAlignment="1">
      <alignment horizontal="center"/>
    </xf>
    <xf numFmtId="0" fontId="8" fillId="3" borderId="7" xfId="0" applyFont="1" applyFill="1" applyBorder="1"/>
    <xf numFmtId="0" fontId="8" fillId="3" borderId="5" xfId="0" applyFont="1" applyFill="1" applyBorder="1"/>
    <xf numFmtId="0" fontId="0" fillId="3" borderId="9" xfId="0" applyFill="1" applyBorder="1" applyAlignment="1">
      <alignment horizontal="center"/>
    </xf>
    <xf numFmtId="168" fontId="3" fillId="3" borderId="0" xfId="0" applyNumberFormat="1" applyFont="1" applyFill="1"/>
    <xf numFmtId="167" fontId="0" fillId="3" borderId="4" xfId="0" applyNumberFormat="1" applyFill="1" applyBorder="1"/>
    <xf numFmtId="167" fontId="3" fillId="3" borderId="9" xfId="0" applyNumberFormat="1" applyFont="1" applyFill="1" applyBorder="1"/>
    <xf numFmtId="0" fontId="3" fillId="3" borderId="8" xfId="0" applyFont="1" applyFill="1" applyBorder="1"/>
    <xf numFmtId="0" fontId="3" fillId="3" borderId="1" xfId="0" applyFont="1" applyFill="1" applyBorder="1"/>
    <xf numFmtId="0" fontId="8" fillId="3" borderId="4" xfId="0" applyFont="1" applyFill="1" applyBorder="1"/>
    <xf numFmtId="0" fontId="0" fillId="2" borderId="2" xfId="0" applyFill="1" applyBorder="1"/>
    <xf numFmtId="0" fontId="8" fillId="3" borderId="3" xfId="0" applyFont="1" applyFill="1" applyBorder="1"/>
    <xf numFmtId="0" fontId="8" fillId="3" borderId="0" xfId="0" applyFont="1" applyFill="1"/>
    <xf numFmtId="0" fontId="8" fillId="3" borderId="9" xfId="0" applyFont="1" applyFill="1" applyBorder="1"/>
    <xf numFmtId="0" fontId="8" fillId="3" borderId="8" xfId="0" applyFont="1" applyFill="1" applyBorder="1"/>
    <xf numFmtId="168" fontId="3" fillId="3" borderId="2" xfId="0" applyNumberFormat="1" applyFont="1" applyFill="1" applyBorder="1" applyAlignment="1">
      <alignment horizontal="left"/>
    </xf>
    <xf numFmtId="0" fontId="0" fillId="6" borderId="0" xfId="0" applyFill="1"/>
    <xf numFmtId="0" fontId="22" fillId="0" borderId="13" xfId="0" applyFont="1" applyBorder="1"/>
    <xf numFmtId="0" fontId="22" fillId="0" borderId="14" xfId="0" applyFont="1" applyBorder="1"/>
    <xf numFmtId="0" fontId="0" fillId="0" borderId="15" xfId="0" applyBorder="1"/>
    <xf numFmtId="0" fontId="23" fillId="6" borderId="0" xfId="0" applyFont="1" applyFill="1"/>
    <xf numFmtId="0" fontId="24" fillId="6" borderId="0" xfId="0" applyFont="1" applyFill="1"/>
    <xf numFmtId="0" fontId="22" fillId="0" borderId="10" xfId="0" applyFont="1" applyBorder="1"/>
    <xf numFmtId="0" fontId="17" fillId="6" borderId="0" xfId="0" applyFont="1" applyFill="1"/>
    <xf numFmtId="0" fontId="22" fillId="0" borderId="12" xfId="0" applyFont="1" applyBorder="1"/>
    <xf numFmtId="0" fontId="17" fillId="6" borderId="9" xfId="0" applyFont="1" applyFill="1" applyBorder="1"/>
    <xf numFmtId="0" fontId="25" fillId="0" borderId="11" xfId="0" applyFont="1" applyBorder="1"/>
    <xf numFmtId="9" fontId="25" fillId="0" borderId="11" xfId="13" applyFont="1" applyBorder="1"/>
    <xf numFmtId="0" fontId="22" fillId="0" borderId="11" xfId="0" applyFont="1" applyBorder="1"/>
    <xf numFmtId="0" fontId="25" fillId="0" borderId="12" xfId="0" applyFont="1" applyBorder="1"/>
    <xf numFmtId="0" fontId="26" fillId="0" borderId="12" xfId="0" applyFont="1" applyBorder="1"/>
    <xf numFmtId="1" fontId="26" fillId="0" borderId="12" xfId="0" applyNumberFormat="1" applyFont="1" applyBorder="1"/>
    <xf numFmtId="168" fontId="26" fillId="0" borderId="12" xfId="0" applyNumberFormat="1" applyFont="1" applyBorder="1"/>
    <xf numFmtId="167" fontId="26" fillId="0" borderId="12" xfId="0" applyNumberFormat="1" applyFont="1" applyBorder="1"/>
    <xf numFmtId="0" fontId="26" fillId="0" borderId="11" xfId="0" applyFont="1" applyBorder="1"/>
    <xf numFmtId="1" fontId="26" fillId="0" borderId="11" xfId="0" applyNumberFormat="1" applyFont="1" applyBorder="1"/>
    <xf numFmtId="168" fontId="26" fillId="0" borderId="11" xfId="0" applyNumberFormat="1" applyFont="1" applyBorder="1"/>
    <xf numFmtId="167" fontId="26" fillId="0" borderId="11" xfId="0" applyNumberFormat="1" applyFont="1" applyBorder="1"/>
    <xf numFmtId="164" fontId="3" fillId="5" borderId="2" xfId="0" applyNumberFormat="1" applyFont="1" applyFill="1" applyBorder="1"/>
    <xf numFmtId="168" fontId="0" fillId="3" borderId="0" xfId="0" applyNumberFormat="1" applyFill="1" applyAlignment="1">
      <alignment horizontal="center"/>
    </xf>
    <xf numFmtId="168" fontId="0" fillId="3" borderId="8" xfId="0" applyNumberFormat="1" applyFill="1" applyBorder="1" applyAlignment="1">
      <alignment horizontal="center"/>
    </xf>
    <xf numFmtId="168" fontId="0" fillId="3" borderId="0" xfId="0" applyNumberFormat="1" applyFill="1" applyAlignment="1">
      <alignment horizontal="left" indent="2"/>
    </xf>
    <xf numFmtId="168" fontId="0" fillId="2" borderId="0" xfId="0" applyNumberFormat="1" applyFill="1"/>
    <xf numFmtId="0" fontId="1" fillId="0" borderId="0" xfId="0" applyFont="1"/>
    <xf numFmtId="0" fontId="1" fillId="3" borderId="0" xfId="0" applyFont="1" applyFill="1"/>
    <xf numFmtId="171" fontId="0" fillId="3" borderId="0" xfId="0" applyNumberFormat="1" applyFill="1" applyAlignment="1">
      <alignment horizontal="left" indent="1"/>
    </xf>
    <xf numFmtId="171" fontId="0" fillId="3" borderId="8" xfId="0" applyNumberFormat="1" applyFill="1" applyBorder="1" applyAlignment="1">
      <alignment horizontal="left" indent="1"/>
    </xf>
    <xf numFmtId="0" fontId="0" fillId="2" borderId="0" xfId="0" applyFill="1" applyAlignment="1">
      <alignment horizontal="left"/>
    </xf>
    <xf numFmtId="6" fontId="8" fillId="3" borderId="4" xfId="0" applyNumberFormat="1" applyFont="1" applyFill="1" applyBorder="1" applyAlignment="1">
      <alignment horizontal="left"/>
    </xf>
    <xf numFmtId="8" fontId="8" fillId="3" borderId="4" xfId="0" applyNumberFormat="1" applyFont="1" applyFill="1" applyBorder="1" applyAlignment="1">
      <alignment horizontal="left"/>
    </xf>
    <xf numFmtId="6" fontId="8" fillId="3" borderId="8" xfId="0" applyNumberFormat="1" applyFont="1" applyFill="1" applyBorder="1" applyAlignment="1">
      <alignment horizontal="left"/>
    </xf>
    <xf numFmtId="0" fontId="1" fillId="3" borderId="3" xfId="0" applyFont="1" applyFill="1" applyBorder="1"/>
    <xf numFmtId="167" fontId="0" fillId="3" borderId="8" xfId="0" applyNumberFormat="1" applyFill="1" applyBorder="1"/>
  </cellXfs>
  <cellStyles count="17">
    <cellStyle name="Hyperkobling 2" xfId="1" xr:uid="{00000000-0005-0000-0000-000000000000}"/>
    <cellStyle name="Normal" xfId="0" builtinId="0"/>
    <cellStyle name="Normal 2" xfId="2" xr:uid="{00000000-0005-0000-0000-000002000000}"/>
    <cellStyle name="Normal 2 2" xfId="3" xr:uid="{00000000-0005-0000-0000-000003000000}"/>
    <cellStyle name="Normal 2 3" xfId="4" xr:uid="{00000000-0005-0000-0000-000004000000}"/>
    <cellStyle name="Normal 3" xfId="5" xr:uid="{00000000-0005-0000-0000-000005000000}"/>
    <cellStyle name="Normal 4" xfId="6" xr:uid="{00000000-0005-0000-0000-000006000000}"/>
    <cellStyle name="Normal 5" xfId="7" xr:uid="{00000000-0005-0000-0000-000007000000}"/>
    <cellStyle name="Normal 5 2" xfId="8" xr:uid="{00000000-0005-0000-0000-000008000000}"/>
    <cellStyle name="Normal 6" xfId="9" xr:uid="{00000000-0005-0000-0000-000009000000}"/>
    <cellStyle name="Normal 6 2" xfId="10" xr:uid="{00000000-0005-0000-0000-00000A000000}"/>
    <cellStyle name="Normal 7" xfId="11" xr:uid="{00000000-0005-0000-0000-00000B000000}"/>
    <cellStyle name="Normal 8" xfId="12" xr:uid="{00000000-0005-0000-0000-00000C000000}"/>
    <cellStyle name="Prosent" xfId="13" builtinId="5"/>
    <cellStyle name="Prosent 2" xfId="14" xr:uid="{00000000-0005-0000-0000-00000E000000}"/>
    <cellStyle name="Prosent 3" xfId="15" xr:uid="{00000000-0005-0000-0000-00000F000000}"/>
    <cellStyle name="Udefinert" xfId="16"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nb-NO"/>
              <a:t>Slakteoppgjør ved slakting i ulike veker</a:t>
            </a:r>
          </a:p>
        </c:rich>
      </c:tx>
      <c:layout>
        <c:manualLayout>
          <c:xMode val="edge"/>
          <c:yMode val="edge"/>
          <c:x val="0.26697554649640426"/>
          <c:y val="3.1578933343991901E-2"/>
        </c:manualLayout>
      </c:layout>
      <c:overlay val="0"/>
      <c:spPr>
        <a:noFill/>
        <a:ln w="25400">
          <a:noFill/>
        </a:ln>
      </c:spPr>
    </c:title>
    <c:autoTitleDeleted val="0"/>
    <c:plotArea>
      <c:layout>
        <c:manualLayout>
          <c:layoutTarget val="inner"/>
          <c:xMode val="edge"/>
          <c:yMode val="edge"/>
          <c:x val="0.15123479581825663"/>
          <c:y val="0.18421052631578946"/>
          <c:w val="0.82716174039373014"/>
          <c:h val="0.63421052631578945"/>
        </c:manualLayout>
      </c:layout>
      <c:barChart>
        <c:barDir val="col"/>
        <c:grouping val="stacked"/>
        <c:varyColors val="0"/>
        <c:ser>
          <c:idx val="1"/>
          <c:order val="0"/>
          <c:spPr>
            <a:solidFill>
              <a:srgbClr val="993366"/>
            </a:solidFill>
            <a:ln w="12700">
              <a:solidFill>
                <a:srgbClr val="000000"/>
              </a:solidFill>
              <a:prstDash val="solid"/>
            </a:ln>
          </c:spPr>
          <c:invertIfNegative val="0"/>
          <c:cat>
            <c:numRef>
              <c:f>Slakteoppgjerskalkulatoren!$P$6:$P$7</c:f>
              <c:numCache>
                <c:formatCode>General</c:formatCode>
                <c:ptCount val="2"/>
                <c:pt idx="0">
                  <c:v>36</c:v>
                </c:pt>
                <c:pt idx="1">
                  <c:v>39</c:v>
                </c:pt>
              </c:numCache>
            </c:numRef>
          </c:cat>
          <c:val>
            <c:numRef>
              <c:f>Slakteoppgjerskalkulatoren!$Q$6:$Q$7</c:f>
              <c:numCache>
                <c:formatCode>"kr"\ #\ ##0</c:formatCode>
                <c:ptCount val="2"/>
                <c:pt idx="0">
                  <c:v>2367.0480000000007</c:v>
                </c:pt>
                <c:pt idx="1">
                  <c:v>2342.3739599999999</c:v>
                </c:pt>
              </c:numCache>
            </c:numRef>
          </c:val>
          <c:extLst>
            <c:ext xmlns:c16="http://schemas.microsoft.com/office/drawing/2014/chart" uri="{C3380CC4-5D6E-409C-BE32-E72D297353CC}">
              <c16:uniqueId val="{00000000-AF34-4493-B747-58887F57D060}"/>
            </c:ext>
          </c:extLst>
        </c:ser>
        <c:dLbls>
          <c:showLegendKey val="0"/>
          <c:showVal val="0"/>
          <c:showCatName val="0"/>
          <c:showSerName val="0"/>
          <c:showPercent val="0"/>
          <c:showBubbleSize val="0"/>
        </c:dLbls>
        <c:gapWidth val="150"/>
        <c:overlap val="100"/>
        <c:axId val="100793888"/>
        <c:axId val="1"/>
      </c:barChart>
      <c:catAx>
        <c:axId val="100793888"/>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nb-NO"/>
                  <a:t>Veke nr</a:t>
                </a:r>
              </a:p>
            </c:rich>
          </c:tx>
          <c:layout>
            <c:manualLayout>
              <c:xMode val="edge"/>
              <c:yMode val="edge"/>
              <c:x val="0.52469226807641955"/>
              <c:y val="0.8999999999999999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nb-NO"/>
                  <a:t>Slakteoppgjør</a:t>
                </a:r>
              </a:p>
            </c:rich>
          </c:tx>
          <c:layout>
            <c:manualLayout>
              <c:xMode val="edge"/>
              <c:yMode val="edge"/>
              <c:x val="2.4691399390679002E-2"/>
              <c:y val="0.37894746659205675"/>
            </c:manualLayout>
          </c:layout>
          <c:overlay val="0"/>
          <c:spPr>
            <a:noFill/>
            <a:ln w="25400">
              <a:noFill/>
            </a:ln>
          </c:spPr>
        </c:title>
        <c:numFmt formatCode="&quot;kr&quot;\ #\ ##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10079388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10591800</xdr:colOff>
      <xdr:row>1</xdr:row>
      <xdr:rowOff>104775</xdr:rowOff>
    </xdr:from>
    <xdr:to>
      <xdr:col>5</xdr:col>
      <xdr:colOff>152400</xdr:colOff>
      <xdr:row>14</xdr:row>
      <xdr:rowOff>152400</xdr:rowOff>
    </xdr:to>
    <xdr:pic>
      <xdr:nvPicPr>
        <xdr:cNvPr id="30982" name="Bilde 2">
          <a:extLst>
            <a:ext uri="{FF2B5EF4-FFF2-40B4-BE49-F238E27FC236}">
              <a16:creationId xmlns:a16="http://schemas.microsoft.com/office/drawing/2014/main" id="{F2A299E8-EB70-2DF9-CB61-06E222510F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266700"/>
          <a:ext cx="1323975" cy="2219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685800</xdr:colOff>
      <xdr:row>9</xdr:row>
      <xdr:rowOff>47625</xdr:rowOff>
    </xdr:from>
    <xdr:to>
      <xdr:col>13</xdr:col>
      <xdr:colOff>200025</xdr:colOff>
      <xdr:row>32</xdr:row>
      <xdr:rowOff>104775</xdr:rowOff>
    </xdr:to>
    <xdr:graphicFrame macro="">
      <xdr:nvGraphicFramePr>
        <xdr:cNvPr id="1612" name="Diagram 4">
          <a:extLst>
            <a:ext uri="{FF2B5EF4-FFF2-40B4-BE49-F238E27FC236}">
              <a16:creationId xmlns:a16="http://schemas.microsoft.com/office/drawing/2014/main" id="{315DD47F-E5CE-FB71-A7E6-EFAA881963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361950</xdr:colOff>
      <xdr:row>0</xdr:row>
      <xdr:rowOff>0</xdr:rowOff>
    </xdr:from>
    <xdr:to>
      <xdr:col>8</xdr:col>
      <xdr:colOff>161925</xdr:colOff>
      <xdr:row>4</xdr:row>
      <xdr:rowOff>28575</xdr:rowOff>
    </xdr:to>
    <xdr:pic>
      <xdr:nvPicPr>
        <xdr:cNvPr id="1613" name="Bilde 3">
          <a:extLst>
            <a:ext uri="{FF2B5EF4-FFF2-40B4-BE49-F238E27FC236}">
              <a16:creationId xmlns:a16="http://schemas.microsoft.com/office/drawing/2014/main" id="{B0C50617-44C7-F169-DFF5-0CCEF4B1A73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86750" y="0"/>
          <a:ext cx="5619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790575</xdr:colOff>
      <xdr:row>17</xdr:row>
      <xdr:rowOff>28575</xdr:rowOff>
    </xdr:from>
    <xdr:to>
      <xdr:col>1</xdr:col>
      <xdr:colOff>1266825</xdr:colOff>
      <xdr:row>22</xdr:row>
      <xdr:rowOff>19050</xdr:rowOff>
    </xdr:to>
    <xdr:pic>
      <xdr:nvPicPr>
        <xdr:cNvPr id="85037" name="Bilde 1">
          <a:extLst>
            <a:ext uri="{FF2B5EF4-FFF2-40B4-BE49-F238E27FC236}">
              <a16:creationId xmlns:a16="http://schemas.microsoft.com/office/drawing/2014/main" id="{62684E35-201A-4AE8-DA4F-DDDDC35EE0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0" y="2781300"/>
          <a:ext cx="4762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8"/>
  <sheetViews>
    <sheetView tabSelected="1" workbookViewId="0">
      <selection activeCell="C33" sqref="C33"/>
    </sheetView>
  </sheetViews>
  <sheetFormatPr baseColWidth="10" defaultRowHeight="12.75" x14ac:dyDescent="0.2"/>
  <cols>
    <col min="1" max="1" width="3.42578125" customWidth="1"/>
    <col min="2" max="2" width="4.42578125" customWidth="1"/>
    <col min="3" max="3" width="161.85546875" customWidth="1"/>
    <col min="5" max="5" width="3.140625" customWidth="1"/>
  </cols>
  <sheetData>
    <row r="1" spans="1:5" x14ac:dyDescent="0.2">
      <c r="A1" s="64"/>
      <c r="B1" s="64"/>
      <c r="C1" s="64"/>
      <c r="D1" s="64"/>
      <c r="E1" s="64"/>
    </row>
    <row r="2" spans="1:5" ht="18" x14ac:dyDescent="0.25">
      <c r="A2" s="64"/>
      <c r="B2" s="64"/>
      <c r="C2" s="65" t="s">
        <v>283</v>
      </c>
      <c r="D2" s="64"/>
      <c r="E2" s="64"/>
    </row>
    <row r="3" spans="1:5" x14ac:dyDescent="0.2">
      <c r="A3" s="64"/>
      <c r="B3" s="64"/>
      <c r="C3" s="64"/>
      <c r="D3" s="64"/>
      <c r="E3" s="64"/>
    </row>
    <row r="4" spans="1:5" x14ac:dyDescent="0.2">
      <c r="A4" s="64"/>
      <c r="B4" s="47"/>
      <c r="C4" s="63" t="s">
        <v>62</v>
      </c>
      <c r="D4" s="64"/>
      <c r="E4" s="64"/>
    </row>
    <row r="5" spans="1:5" x14ac:dyDescent="0.2">
      <c r="A5" s="64"/>
      <c r="B5" s="47"/>
      <c r="C5" s="63" t="s">
        <v>72</v>
      </c>
      <c r="D5" s="64"/>
      <c r="E5" s="64"/>
    </row>
    <row r="6" spans="1:5" x14ac:dyDescent="0.2">
      <c r="A6" s="64"/>
      <c r="B6" s="47"/>
      <c r="C6" s="67" t="s">
        <v>59</v>
      </c>
      <c r="D6" s="64"/>
      <c r="E6" s="64"/>
    </row>
    <row r="7" spans="1:5" x14ac:dyDescent="0.2">
      <c r="A7" s="64"/>
      <c r="B7" s="47">
        <v>1</v>
      </c>
      <c r="C7" s="80" t="s">
        <v>95</v>
      </c>
      <c r="D7" s="64"/>
      <c r="E7" s="64"/>
    </row>
    <row r="8" spans="1:5" x14ac:dyDescent="0.2">
      <c r="A8" s="64"/>
      <c r="B8" s="47">
        <v>2</v>
      </c>
      <c r="C8" s="80" t="s">
        <v>77</v>
      </c>
      <c r="D8" s="64"/>
      <c r="E8" s="64"/>
    </row>
    <row r="9" spans="1:5" x14ac:dyDescent="0.2">
      <c r="A9" s="64"/>
      <c r="B9" s="47">
        <v>3</v>
      </c>
      <c r="C9" t="s">
        <v>60</v>
      </c>
      <c r="D9" s="64"/>
      <c r="E9" s="64"/>
    </row>
    <row r="10" spans="1:5" x14ac:dyDescent="0.2">
      <c r="A10" s="64"/>
      <c r="B10" s="47">
        <v>4</v>
      </c>
      <c r="C10" s="80" t="s">
        <v>238</v>
      </c>
      <c r="D10" s="64"/>
      <c r="E10" s="64"/>
    </row>
    <row r="11" spans="1:5" x14ac:dyDescent="0.2">
      <c r="A11" s="64"/>
      <c r="B11" s="47">
        <v>5</v>
      </c>
      <c r="C11" t="s">
        <v>61</v>
      </c>
      <c r="D11" s="64"/>
      <c r="E11" s="64"/>
    </row>
    <row r="12" spans="1:5" x14ac:dyDescent="0.2">
      <c r="A12" s="64"/>
      <c r="B12" s="47">
        <v>6</v>
      </c>
      <c r="C12" s="80" t="s">
        <v>239</v>
      </c>
      <c r="D12" s="64"/>
      <c r="E12" s="64"/>
    </row>
    <row r="13" spans="1:5" x14ac:dyDescent="0.2">
      <c r="A13" s="64"/>
      <c r="B13" s="47"/>
      <c r="C13" s="80" t="s">
        <v>240</v>
      </c>
      <c r="D13" s="64"/>
      <c r="E13" s="64"/>
    </row>
    <row r="14" spans="1:5" x14ac:dyDescent="0.2">
      <c r="A14" s="64"/>
      <c r="B14" s="47"/>
      <c r="C14" s="69" t="s">
        <v>71</v>
      </c>
      <c r="D14" s="64"/>
      <c r="E14" s="64"/>
    </row>
    <row r="15" spans="1:5" x14ac:dyDescent="0.2">
      <c r="A15" s="64"/>
      <c r="B15" s="47"/>
      <c r="C15" s="69" t="s">
        <v>70</v>
      </c>
      <c r="D15" s="64"/>
      <c r="E15" s="64"/>
    </row>
    <row r="16" spans="1:5" x14ac:dyDescent="0.2">
      <c r="A16" s="64"/>
      <c r="B16" s="47"/>
      <c r="C16" s="80" t="s">
        <v>94</v>
      </c>
      <c r="D16" s="64"/>
      <c r="E16" s="64"/>
    </row>
    <row r="17" spans="1:5" x14ac:dyDescent="0.2">
      <c r="A17" s="64"/>
      <c r="B17" s="47"/>
      <c r="C17" s="145" t="s">
        <v>273</v>
      </c>
      <c r="D17" s="64"/>
      <c r="E17" s="64"/>
    </row>
    <row r="18" spans="1:5" x14ac:dyDescent="0.2">
      <c r="A18" s="64"/>
      <c r="B18" s="64"/>
      <c r="C18" s="64"/>
      <c r="D18" s="64"/>
      <c r="E18" s="64"/>
    </row>
  </sheetData>
  <phoneticPr fontId="2" type="noConversion"/>
  <pageMargins left="0.75" right="0.75" top="1" bottom="1" header="0.5" footer="0.5"/>
  <pageSetup paperSize="9" orientation="portrait" r:id="rId1"/>
  <headerFooter alignWithMargins="0">
    <oddHeader>&amp;L&amp;"Calibri"&amp;10&amp;K000000 INTERN&amp;1#_x000D_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69"/>
  <sheetViews>
    <sheetView zoomScale="89" zoomScaleNormal="89" workbookViewId="0">
      <selection activeCell="D75" sqref="D75"/>
    </sheetView>
  </sheetViews>
  <sheetFormatPr baseColWidth="10" defaultRowHeight="12.75" x14ac:dyDescent="0.2"/>
  <cols>
    <col min="1" max="1" width="46.7109375" customWidth="1"/>
    <col min="2" max="2" width="12.5703125" customWidth="1"/>
    <col min="5" max="5" width="13.42578125" customWidth="1"/>
    <col min="6" max="6" width="16.28515625" customWidth="1"/>
    <col min="7" max="7" width="12.28515625" customWidth="1"/>
    <col min="10" max="10" width="17.42578125" customWidth="1"/>
    <col min="11" max="11" width="13" bestFit="1" customWidth="1"/>
    <col min="12" max="12" width="12.28515625" customWidth="1"/>
    <col min="13" max="13" width="20.5703125" customWidth="1"/>
    <col min="14" max="14" width="11.85546875" customWidth="1"/>
    <col min="15" max="15" width="18" customWidth="1"/>
  </cols>
  <sheetData>
    <row r="1" spans="1:19" x14ac:dyDescent="0.2">
      <c r="A1" s="2"/>
      <c r="B1" s="2"/>
      <c r="C1" s="2"/>
      <c r="D1" s="2"/>
      <c r="E1" s="2"/>
      <c r="F1" s="2"/>
      <c r="G1" s="2"/>
      <c r="H1" s="2"/>
      <c r="I1" s="2"/>
      <c r="J1" s="2"/>
      <c r="K1" s="2"/>
      <c r="L1" s="2"/>
      <c r="M1" s="2"/>
      <c r="N1" s="2"/>
      <c r="O1" s="2"/>
      <c r="P1" s="2"/>
      <c r="Q1" s="2"/>
      <c r="R1" s="2"/>
      <c r="S1" s="2"/>
    </row>
    <row r="2" spans="1:19" ht="33.75" x14ac:dyDescent="0.5">
      <c r="A2" s="2"/>
      <c r="B2" s="39" t="s">
        <v>282</v>
      </c>
      <c r="C2" s="2"/>
      <c r="D2" s="2"/>
      <c r="E2" s="2"/>
      <c r="F2" s="2"/>
      <c r="G2" s="2"/>
      <c r="H2" s="2"/>
      <c r="I2" s="2"/>
      <c r="J2" s="39"/>
      <c r="K2" s="2"/>
      <c r="L2" s="2"/>
      <c r="M2" s="2"/>
      <c r="N2" s="2"/>
      <c r="O2" s="2"/>
      <c r="P2" s="2"/>
      <c r="Q2" s="2"/>
      <c r="R2" s="2"/>
      <c r="S2" s="2"/>
    </row>
    <row r="3" spans="1:19" x14ac:dyDescent="0.2">
      <c r="A3" s="10" t="s">
        <v>2</v>
      </c>
      <c r="B3" s="4">
        <v>300</v>
      </c>
      <c r="C3" s="52" t="s">
        <v>40</v>
      </c>
      <c r="D3" s="4">
        <v>2</v>
      </c>
      <c r="E3" s="59"/>
      <c r="F3" s="10" t="s">
        <v>80</v>
      </c>
      <c r="G3" s="4">
        <v>5</v>
      </c>
      <c r="H3" s="2"/>
      <c r="I3" s="2"/>
      <c r="J3" s="10" t="s">
        <v>89</v>
      </c>
      <c r="K3" s="87">
        <v>15</v>
      </c>
      <c r="L3" s="2"/>
      <c r="M3" s="10" t="s">
        <v>235</v>
      </c>
      <c r="N3" s="110">
        <f>(C5-B5)*7</f>
        <v>21</v>
      </c>
      <c r="O3" s="2"/>
      <c r="P3" s="2"/>
      <c r="Q3" s="2"/>
      <c r="R3" s="2"/>
      <c r="S3" s="2"/>
    </row>
    <row r="4" spans="1:19" x14ac:dyDescent="0.2">
      <c r="A4" s="10"/>
      <c r="B4" s="2"/>
      <c r="C4" s="2"/>
      <c r="D4" s="2"/>
      <c r="E4" s="2"/>
      <c r="F4" s="2"/>
      <c r="G4" s="2"/>
      <c r="H4" s="2"/>
      <c r="I4" s="2"/>
      <c r="J4" s="2"/>
      <c r="K4" s="2"/>
      <c r="L4" s="2"/>
      <c r="M4" s="2"/>
      <c r="N4" s="2"/>
      <c r="O4" s="2"/>
      <c r="P4" s="2"/>
      <c r="Q4" s="2"/>
      <c r="R4" s="2"/>
      <c r="S4" s="2"/>
    </row>
    <row r="5" spans="1:19" x14ac:dyDescent="0.2">
      <c r="A5" s="10" t="s">
        <v>55</v>
      </c>
      <c r="B5" s="35">
        <v>36</v>
      </c>
      <c r="C5" s="35">
        <v>39</v>
      </c>
      <c r="D5" s="2"/>
      <c r="E5" s="11" t="s">
        <v>58</v>
      </c>
      <c r="F5" s="12" t="s">
        <v>4</v>
      </c>
      <c r="G5" s="12" t="s">
        <v>5</v>
      </c>
      <c r="H5" s="12" t="s">
        <v>76</v>
      </c>
      <c r="I5" s="12" t="s">
        <v>6</v>
      </c>
      <c r="J5" s="12" t="s">
        <v>86</v>
      </c>
      <c r="K5" s="12" t="s">
        <v>85</v>
      </c>
      <c r="L5" s="12" t="s">
        <v>7</v>
      </c>
      <c r="M5" s="12" t="s">
        <v>43</v>
      </c>
      <c r="N5" s="12" t="s">
        <v>237</v>
      </c>
      <c r="O5" s="12" t="s">
        <v>51</v>
      </c>
      <c r="P5" s="56" t="s">
        <v>44</v>
      </c>
      <c r="Q5" s="12" t="s">
        <v>8</v>
      </c>
      <c r="R5" s="13" t="s">
        <v>63</v>
      </c>
      <c r="S5" s="2"/>
    </row>
    <row r="6" spans="1:19" x14ac:dyDescent="0.2">
      <c r="A6" s="10" t="s">
        <v>57</v>
      </c>
      <c r="B6" s="38">
        <v>45</v>
      </c>
      <c r="C6" s="36">
        <f>B6+(((C5-B5)*7)*B3/1000)</f>
        <v>51.3</v>
      </c>
      <c r="D6" s="2"/>
      <c r="E6" s="42">
        <f>B6*B7</f>
        <v>19.8</v>
      </c>
      <c r="F6" s="40">
        <f>E6*B8</f>
        <v>1431.7380000000001</v>
      </c>
      <c r="G6" s="40">
        <f>E6*B9</f>
        <v>103.95</v>
      </c>
      <c r="H6" s="40">
        <f>E6*B10</f>
        <v>33.660000000000004</v>
      </c>
      <c r="I6" s="40">
        <f>B11*E6</f>
        <v>49.5</v>
      </c>
      <c r="J6" s="40">
        <f>E6*B12</f>
        <v>108.9</v>
      </c>
      <c r="K6" s="40">
        <f>K3</f>
        <v>15</v>
      </c>
      <c r="L6" s="40">
        <f>E6*B13</f>
        <v>0</v>
      </c>
      <c r="M6" s="60">
        <f>B14*E6</f>
        <v>0</v>
      </c>
      <c r="N6" s="40">
        <f>B15</f>
        <v>555</v>
      </c>
      <c r="O6" s="143">
        <f>VLOOKUP(B17,$C$58:$D$64,2)*E6</f>
        <v>69.3</v>
      </c>
      <c r="P6" s="57">
        <f>B5</f>
        <v>36</v>
      </c>
      <c r="Q6" s="21">
        <f>SUM(F6:O6)</f>
        <v>2367.0480000000007</v>
      </c>
      <c r="R6" s="68">
        <f>Q6/E6</f>
        <v>119.54787878787882</v>
      </c>
      <c r="S6" s="144"/>
    </row>
    <row r="7" spans="1:19" x14ac:dyDescent="0.2">
      <c r="A7" s="10" t="s">
        <v>3</v>
      </c>
      <c r="B7" s="37">
        <v>0.44</v>
      </c>
      <c r="C7" s="37">
        <v>0.42</v>
      </c>
      <c r="D7" s="2"/>
      <c r="E7" s="43">
        <f>C6*C7</f>
        <v>21.545999999999999</v>
      </c>
      <c r="F7" s="41">
        <f>E7*C8</f>
        <v>1396.39626</v>
      </c>
      <c r="G7" s="41">
        <f>E7*C9</f>
        <v>113.1165</v>
      </c>
      <c r="H7" s="41">
        <f>E7*C10</f>
        <v>36.6282</v>
      </c>
      <c r="I7" s="41">
        <f>E7*C11</f>
        <v>53.864999999999995</v>
      </c>
      <c r="J7" s="41">
        <f>E7*C12</f>
        <v>64.638000000000005</v>
      </c>
      <c r="K7" s="41">
        <f>K3</f>
        <v>15</v>
      </c>
      <c r="L7" s="40">
        <f>E7*C13</f>
        <v>0</v>
      </c>
      <c r="M7" s="60">
        <f>C14*E7</f>
        <v>32.319000000000003</v>
      </c>
      <c r="N7" s="40">
        <f>C15</f>
        <v>555</v>
      </c>
      <c r="O7" s="143">
        <f>VLOOKUP(C17,$C$58:$D$64,2)*E7</f>
        <v>75.411000000000001</v>
      </c>
      <c r="P7" s="57">
        <f>C5</f>
        <v>39</v>
      </c>
      <c r="Q7" s="108">
        <f>SUM(F7:O7)</f>
        <v>2342.3739599999999</v>
      </c>
      <c r="R7" s="84">
        <f>Q7/E7</f>
        <v>108.71502645502645</v>
      </c>
      <c r="S7" s="144"/>
    </row>
    <row r="8" spans="1:19" x14ac:dyDescent="0.2">
      <c r="A8" s="10" t="s">
        <v>67</v>
      </c>
      <c r="B8" s="61">
        <f>(VLOOKUP(B5,$G$38:$H$63,2))+B16</f>
        <v>72.31</v>
      </c>
      <c r="C8" s="61">
        <f>(VLOOKUP(C5,$G$38:$H$63,2))+C16</f>
        <v>64.81</v>
      </c>
      <c r="D8" s="2"/>
      <c r="E8" s="2"/>
      <c r="F8" s="2"/>
      <c r="G8" s="3"/>
      <c r="H8" s="3"/>
      <c r="I8" s="3"/>
      <c r="J8" s="3"/>
      <c r="K8" s="3"/>
      <c r="L8" s="45" t="s">
        <v>42</v>
      </c>
      <c r="M8" s="7"/>
      <c r="N8" s="47"/>
      <c r="O8" s="106">
        <f>(Q7-Q6)/((C5-B5)*7)</f>
        <v>-1.1749542857143231</v>
      </c>
      <c r="P8" s="107"/>
      <c r="Q8" s="2"/>
      <c r="R8" s="2"/>
      <c r="S8" s="2"/>
    </row>
    <row r="9" spans="1:19" x14ac:dyDescent="0.2">
      <c r="A9" s="10" t="s">
        <v>0</v>
      </c>
      <c r="B9" s="61">
        <f>VLOOKUP($D$3,$M$37:$N$41,2)</f>
        <v>5.25</v>
      </c>
      <c r="C9" s="61">
        <f>VLOOKUP($D$3,$M$37:$N$41,2)</f>
        <v>5.25</v>
      </c>
      <c r="D9" s="2"/>
      <c r="E9" s="2"/>
      <c r="F9" s="2"/>
      <c r="G9" s="3"/>
      <c r="H9" s="3"/>
      <c r="I9" s="3"/>
      <c r="J9" s="2"/>
      <c r="K9" s="2"/>
      <c r="L9" s="28" t="s">
        <v>232</v>
      </c>
      <c r="M9" s="29"/>
      <c r="N9" s="29"/>
      <c r="O9" s="108">
        <f>Q7-Q6</f>
        <v>-24.674040000000787</v>
      </c>
      <c r="P9" s="109"/>
      <c r="Q9" s="2"/>
      <c r="R9" s="2"/>
      <c r="S9" s="2"/>
    </row>
    <row r="10" spans="1:19" x14ac:dyDescent="0.2">
      <c r="A10" s="10" t="s">
        <v>75</v>
      </c>
      <c r="B10" s="61">
        <f>VLOOKUP($G$3,$N$54:$O$58,2)</f>
        <v>1.7</v>
      </c>
      <c r="C10" s="61">
        <f>VLOOKUP($G$3,$N$54:$O$58,2)</f>
        <v>1.7</v>
      </c>
      <c r="D10" s="10"/>
      <c r="E10" s="2"/>
      <c r="F10" s="2"/>
      <c r="G10" s="3"/>
      <c r="H10" s="3"/>
      <c r="I10" s="3"/>
      <c r="J10" s="2"/>
      <c r="K10" s="2"/>
      <c r="L10" s="2"/>
      <c r="M10" s="2"/>
      <c r="N10" s="2"/>
      <c r="O10" s="2"/>
      <c r="P10" s="2"/>
      <c r="Q10" s="2"/>
      <c r="R10" s="2"/>
      <c r="S10" s="2"/>
    </row>
    <row r="11" spans="1:19" x14ac:dyDescent="0.2">
      <c r="A11" s="10" t="s">
        <v>1</v>
      </c>
      <c r="B11" s="62">
        <v>2.5</v>
      </c>
      <c r="C11" s="62">
        <v>2.5</v>
      </c>
      <c r="D11" s="2"/>
      <c r="E11" s="2"/>
      <c r="F11" s="2"/>
      <c r="G11" s="3"/>
      <c r="H11" s="3"/>
      <c r="I11" s="3"/>
      <c r="J11" s="2"/>
      <c r="K11" s="2"/>
      <c r="L11" s="2"/>
      <c r="M11" s="2"/>
      <c r="N11" s="2"/>
      <c r="O11" s="2"/>
      <c r="P11" s="2"/>
      <c r="Q11" s="2"/>
      <c r="R11" s="2"/>
      <c r="S11" s="2"/>
    </row>
    <row r="12" spans="1:19" x14ac:dyDescent="0.2">
      <c r="A12" s="10" t="s">
        <v>69</v>
      </c>
      <c r="B12" s="62">
        <v>5.5</v>
      </c>
      <c r="C12" s="62">
        <v>3</v>
      </c>
      <c r="D12" s="2"/>
      <c r="E12" s="2"/>
      <c r="F12" s="2"/>
      <c r="G12" s="2"/>
      <c r="H12" s="2"/>
      <c r="I12" s="2"/>
      <c r="J12" s="2"/>
      <c r="K12" s="2"/>
      <c r="L12" s="2"/>
      <c r="M12" s="2"/>
      <c r="N12" s="2"/>
      <c r="O12" s="2"/>
      <c r="P12" s="2"/>
      <c r="Q12" s="2"/>
      <c r="R12" s="2"/>
      <c r="S12" s="2"/>
    </row>
    <row r="13" spans="1:19" x14ac:dyDescent="0.2">
      <c r="A13" s="10" t="s">
        <v>49</v>
      </c>
      <c r="B13" s="62">
        <v>0</v>
      </c>
      <c r="C13" s="62">
        <v>0</v>
      </c>
      <c r="D13" s="2"/>
      <c r="E13" s="2"/>
      <c r="F13" s="2"/>
      <c r="G13" s="2"/>
      <c r="H13" s="2"/>
      <c r="I13" s="2"/>
      <c r="J13" s="2"/>
      <c r="K13" s="2"/>
      <c r="L13" s="2"/>
      <c r="M13" s="2"/>
      <c r="N13" s="2"/>
      <c r="O13" s="11" t="s">
        <v>6</v>
      </c>
      <c r="P13" s="117">
        <v>2.5</v>
      </c>
      <c r="Q13" s="113"/>
      <c r="R13" s="2"/>
      <c r="S13" s="2"/>
    </row>
    <row r="14" spans="1:19" x14ac:dyDescent="0.2">
      <c r="A14" s="10" t="s">
        <v>45</v>
      </c>
      <c r="B14" s="62">
        <v>0</v>
      </c>
      <c r="C14" s="62">
        <v>1.5</v>
      </c>
      <c r="D14" s="2"/>
      <c r="E14" s="2"/>
      <c r="F14" s="2"/>
      <c r="G14" s="2"/>
      <c r="H14" s="2"/>
      <c r="I14" s="2"/>
      <c r="J14" s="2"/>
      <c r="K14" s="2"/>
      <c r="L14" s="2"/>
      <c r="M14" s="2"/>
      <c r="N14" s="2"/>
      <c r="O14" s="103" t="s">
        <v>241</v>
      </c>
      <c r="P14" s="114" t="s">
        <v>242</v>
      </c>
      <c r="Q14" s="111"/>
      <c r="R14" s="2"/>
      <c r="S14" s="2"/>
    </row>
    <row r="15" spans="1:19" x14ac:dyDescent="0.2">
      <c r="A15" s="10" t="s">
        <v>236</v>
      </c>
      <c r="B15" s="62">
        <v>555</v>
      </c>
      <c r="C15" s="62">
        <v>555</v>
      </c>
      <c r="D15" s="2"/>
      <c r="E15" s="2"/>
      <c r="F15" s="2"/>
      <c r="G15" s="2"/>
      <c r="H15" s="2"/>
      <c r="I15" s="2"/>
      <c r="J15" s="2"/>
      <c r="K15" s="2"/>
      <c r="L15" s="2"/>
      <c r="M15" s="2"/>
      <c r="N15" s="2"/>
      <c r="O15" s="103" t="s">
        <v>243</v>
      </c>
      <c r="P15" s="114"/>
      <c r="Q15" s="111"/>
      <c r="R15" s="2"/>
      <c r="S15" s="2"/>
    </row>
    <row r="16" spans="1:19" x14ac:dyDescent="0.2">
      <c r="A16" s="10" t="s">
        <v>234</v>
      </c>
      <c r="B16" s="61">
        <f>IF(E6&lt;N44,O44,IF(E6&lt;N45,O45,IF(E6&lt;N46,O46,IF(E6&lt;N47,O47,IF(E6&lt;N48,O48,IF(E6&lt;N49,O49,IF(E6&lt;N50,O50,O51)))))))</f>
        <v>0</v>
      </c>
      <c r="C16" s="61">
        <f>IF(E7&lt;N44,O44,IF(E7&lt;N45,O45,IF(E7&lt;N46,O46,IF(E7&lt;N47,O47,IF(E7&lt;N48,O48,IF(E7&lt;N49,O49,IF(E7&lt;N50,O50,O51)))))))</f>
        <v>0</v>
      </c>
      <c r="D16" s="2"/>
      <c r="E16" s="2"/>
      <c r="F16" s="2"/>
      <c r="G16" s="2"/>
      <c r="H16" s="2"/>
      <c r="I16" s="2"/>
      <c r="J16" s="2"/>
      <c r="K16" s="2"/>
      <c r="L16" s="2"/>
      <c r="M16" s="2"/>
      <c r="N16" s="2"/>
      <c r="O16" s="104" t="s">
        <v>244</v>
      </c>
      <c r="P16" s="115" t="s">
        <v>245</v>
      </c>
      <c r="Q16" s="116"/>
      <c r="R16" s="2"/>
      <c r="S16" s="2"/>
    </row>
    <row r="17" spans="1:19" x14ac:dyDescent="0.2">
      <c r="A17" s="10" t="s">
        <v>53</v>
      </c>
      <c r="B17" s="66">
        <v>6</v>
      </c>
      <c r="C17" s="66">
        <v>6</v>
      </c>
      <c r="D17" s="2"/>
      <c r="E17" s="2"/>
      <c r="F17" s="2"/>
      <c r="G17" s="2"/>
      <c r="H17" s="2"/>
      <c r="I17" s="2"/>
      <c r="J17" s="2"/>
      <c r="K17" s="2"/>
      <c r="L17" s="2"/>
      <c r="M17" s="2"/>
      <c r="N17" s="2"/>
      <c r="O17" s="2"/>
      <c r="P17" s="2"/>
      <c r="Q17" s="2"/>
      <c r="R17" s="2"/>
      <c r="S17" s="2"/>
    </row>
    <row r="18" spans="1:19" x14ac:dyDescent="0.2">
      <c r="A18" s="2"/>
      <c r="B18" s="2"/>
      <c r="C18" s="2"/>
      <c r="D18" s="2"/>
      <c r="E18" s="2"/>
      <c r="F18" s="2"/>
      <c r="G18" s="2"/>
      <c r="H18" s="2"/>
      <c r="I18" s="2"/>
      <c r="J18" s="2"/>
      <c r="K18" s="2"/>
      <c r="L18" s="2"/>
      <c r="M18" s="2"/>
      <c r="N18" s="2"/>
      <c r="O18" s="2"/>
      <c r="P18" s="2"/>
      <c r="Q18" s="2"/>
      <c r="R18" s="2"/>
      <c r="S18" s="2"/>
    </row>
    <row r="19" spans="1:19" x14ac:dyDescent="0.2">
      <c r="A19" s="2"/>
      <c r="B19" s="2"/>
      <c r="C19" s="2"/>
      <c r="D19" s="19"/>
      <c r="E19" s="2"/>
      <c r="F19" s="2"/>
      <c r="G19" s="2"/>
      <c r="H19" s="2"/>
      <c r="I19" s="2"/>
      <c r="J19" s="2"/>
      <c r="K19" s="2"/>
      <c r="L19" s="2"/>
      <c r="M19" s="2"/>
      <c r="N19" s="2"/>
      <c r="O19" s="11" t="s">
        <v>86</v>
      </c>
      <c r="P19" s="140"/>
      <c r="Q19" s="153"/>
      <c r="R19" s="2"/>
      <c r="S19" s="2"/>
    </row>
    <row r="20" spans="1:19" x14ac:dyDescent="0.2">
      <c r="A20" s="2"/>
      <c r="B20" s="11" t="s">
        <v>281</v>
      </c>
      <c r="C20" s="12"/>
      <c r="D20" s="13"/>
      <c r="E20" s="2"/>
      <c r="F20" s="2"/>
      <c r="G20" s="2"/>
      <c r="H20" s="2"/>
      <c r="I20" s="2"/>
      <c r="J20" s="2"/>
      <c r="K20" s="2"/>
      <c r="L20" s="2"/>
      <c r="M20" s="2"/>
      <c r="N20" s="2"/>
      <c r="O20" s="103" t="s">
        <v>241</v>
      </c>
      <c r="P20" s="146" t="s">
        <v>280</v>
      </c>
      <c r="Q20" s="111"/>
      <c r="R20" s="2"/>
      <c r="S20" s="2"/>
    </row>
    <row r="21" spans="1:19" x14ac:dyDescent="0.2">
      <c r="A21" s="2"/>
      <c r="B21" s="14" t="s">
        <v>20</v>
      </c>
      <c r="C21" s="7" t="s">
        <v>21</v>
      </c>
      <c r="D21" s="8" t="s">
        <v>22</v>
      </c>
      <c r="E21" s="2"/>
      <c r="F21" s="2"/>
      <c r="G21" s="2"/>
      <c r="H21" s="2"/>
      <c r="I21" s="2"/>
      <c r="J21" s="2"/>
      <c r="K21" s="2"/>
      <c r="L21" s="2"/>
      <c r="M21" s="2"/>
      <c r="N21" s="2"/>
      <c r="O21" s="103" t="s">
        <v>265</v>
      </c>
      <c r="P21" s="114"/>
      <c r="Q21" s="111"/>
      <c r="R21" s="2"/>
      <c r="S21" s="2"/>
    </row>
    <row r="22" spans="1:19" x14ac:dyDescent="0.2">
      <c r="A22" s="2"/>
      <c r="B22" s="15" t="s">
        <v>10</v>
      </c>
      <c r="C22" s="85">
        <v>8.0666666666666629</v>
      </c>
      <c r="D22" s="8">
        <v>-3</v>
      </c>
      <c r="E22" s="2"/>
      <c r="F22" s="2"/>
      <c r="G22" s="2"/>
      <c r="H22" s="2"/>
      <c r="I22" s="2"/>
      <c r="J22" s="2"/>
      <c r="K22" s="2"/>
      <c r="L22" s="2"/>
      <c r="M22" s="2"/>
      <c r="N22" s="2"/>
      <c r="O22" s="103" t="s">
        <v>244</v>
      </c>
      <c r="P22" s="114" t="s">
        <v>245</v>
      </c>
      <c r="Q22" s="111"/>
      <c r="R22" s="2"/>
      <c r="S22" s="2"/>
    </row>
    <row r="23" spans="1:19" x14ac:dyDescent="0.2">
      <c r="A23" s="2"/>
      <c r="B23" s="15">
        <v>1</v>
      </c>
      <c r="C23" s="85">
        <v>10.671895565864675</v>
      </c>
      <c r="D23" s="8">
        <v>0</v>
      </c>
      <c r="E23" s="2"/>
      <c r="F23" s="2"/>
      <c r="G23" s="2"/>
      <c r="H23" s="2"/>
      <c r="I23" s="2"/>
      <c r="J23" s="2"/>
      <c r="K23" s="2"/>
      <c r="L23" s="2"/>
      <c r="M23" s="2"/>
      <c r="N23" s="2"/>
      <c r="O23" s="103" t="s">
        <v>9</v>
      </c>
      <c r="P23" s="114" t="s">
        <v>263</v>
      </c>
      <c r="Q23" s="116"/>
      <c r="R23" s="2"/>
      <c r="S23" s="2"/>
    </row>
    <row r="24" spans="1:19" x14ac:dyDescent="0.2">
      <c r="A24" s="2"/>
      <c r="B24" s="15" t="s">
        <v>11</v>
      </c>
      <c r="C24" s="85">
        <v>13.841404632716671</v>
      </c>
      <c r="D24" s="8">
        <v>0</v>
      </c>
      <c r="E24" s="2"/>
      <c r="F24" s="2"/>
      <c r="G24" s="2"/>
      <c r="H24" s="2"/>
      <c r="I24" s="2"/>
      <c r="J24" s="2"/>
      <c r="K24" s="2"/>
      <c r="L24" s="2"/>
      <c r="M24" s="2"/>
      <c r="N24" s="2"/>
      <c r="O24" s="103" t="s">
        <v>276</v>
      </c>
      <c r="P24" s="150">
        <v>3</v>
      </c>
      <c r="Q24" s="112"/>
      <c r="R24" s="2"/>
      <c r="S24" s="2"/>
    </row>
    <row r="25" spans="1:19" x14ac:dyDescent="0.2">
      <c r="A25" s="2"/>
      <c r="B25" s="15" t="s">
        <v>12</v>
      </c>
      <c r="C25" s="85">
        <v>16.356180989828463</v>
      </c>
      <c r="D25" s="8">
        <v>0</v>
      </c>
      <c r="E25" s="2"/>
      <c r="F25" s="2"/>
      <c r="G25" s="2"/>
      <c r="H25" s="2"/>
      <c r="I25" s="2"/>
      <c r="J25" s="2"/>
      <c r="K25" s="2"/>
      <c r="L25" s="2"/>
      <c r="M25" s="2"/>
      <c r="N25" s="2"/>
      <c r="O25" s="103" t="s">
        <v>277</v>
      </c>
      <c r="P25" s="150">
        <v>5</v>
      </c>
      <c r="Q25" s="2"/>
      <c r="R25" s="2"/>
      <c r="S25" s="2"/>
    </row>
    <row r="26" spans="1:19" x14ac:dyDescent="0.2">
      <c r="A26" s="2"/>
      <c r="B26" s="15">
        <v>2</v>
      </c>
      <c r="C26" s="85">
        <v>17.876818103452997</v>
      </c>
      <c r="D26" s="8">
        <v>0</v>
      </c>
      <c r="E26" s="2"/>
      <c r="F26" s="2"/>
      <c r="G26" s="2"/>
      <c r="H26" s="2"/>
      <c r="I26" s="2"/>
      <c r="J26" s="2"/>
      <c r="K26" s="2"/>
      <c r="L26" s="2"/>
      <c r="M26" s="2"/>
      <c r="N26" s="2"/>
      <c r="O26" s="103" t="s">
        <v>278</v>
      </c>
      <c r="P26" s="151">
        <v>5.5</v>
      </c>
      <c r="Q26" s="2"/>
      <c r="R26" s="2"/>
      <c r="S26" s="2"/>
    </row>
    <row r="27" spans="1:19" x14ac:dyDescent="0.2">
      <c r="A27" s="2"/>
      <c r="B27" s="15" t="s">
        <v>13</v>
      </c>
      <c r="C27" s="85">
        <v>18.984112659399724</v>
      </c>
      <c r="D27" s="8">
        <v>0</v>
      </c>
      <c r="E27" s="2"/>
      <c r="F27" s="2"/>
      <c r="G27" s="2"/>
      <c r="H27" s="2"/>
      <c r="I27" s="2"/>
      <c r="J27" s="2"/>
      <c r="K27" s="2"/>
      <c r="L27" s="2"/>
      <c r="M27" s="2"/>
      <c r="N27" s="2"/>
      <c r="O27" s="104" t="s">
        <v>279</v>
      </c>
      <c r="P27" s="152">
        <v>3</v>
      </c>
      <c r="Q27" s="2"/>
      <c r="R27" s="2"/>
      <c r="S27" s="2"/>
    </row>
    <row r="28" spans="1:19" x14ac:dyDescent="0.2">
      <c r="A28" s="2"/>
      <c r="B28" s="15" t="s">
        <v>14</v>
      </c>
      <c r="C28" s="85">
        <v>20.088204723253718</v>
      </c>
      <c r="D28" s="8">
        <v>0</v>
      </c>
      <c r="E28" s="2"/>
      <c r="F28" s="2"/>
      <c r="G28" s="2"/>
      <c r="H28" s="2"/>
      <c r="I28" s="2"/>
      <c r="J28" s="2"/>
      <c r="K28" s="2"/>
      <c r="L28" s="2"/>
      <c r="M28" s="2"/>
      <c r="N28" s="2"/>
      <c r="O28" s="2"/>
      <c r="P28" s="2"/>
      <c r="Q28" s="2"/>
      <c r="R28" s="2"/>
      <c r="S28" s="2"/>
    </row>
    <row r="29" spans="1:19" x14ac:dyDescent="0.2">
      <c r="A29" s="2"/>
      <c r="B29" s="15">
        <v>3</v>
      </c>
      <c r="C29" s="85">
        <v>21.238595956129956</v>
      </c>
      <c r="D29" s="8">
        <v>0</v>
      </c>
      <c r="E29" s="2"/>
      <c r="F29" s="2"/>
      <c r="G29" s="2"/>
      <c r="H29" s="2"/>
      <c r="I29" s="2"/>
      <c r="J29" s="2"/>
      <c r="K29" s="2"/>
      <c r="L29" s="2"/>
      <c r="M29" s="2"/>
      <c r="N29" s="2"/>
      <c r="O29" s="2"/>
      <c r="P29" s="149"/>
      <c r="Q29" s="2"/>
      <c r="R29" s="2"/>
      <c r="S29" s="2"/>
    </row>
    <row r="30" spans="1:19" x14ac:dyDescent="0.2">
      <c r="A30" s="2"/>
      <c r="B30" s="15" t="s">
        <v>15</v>
      </c>
      <c r="C30" s="85">
        <v>22.482188118282433</v>
      </c>
      <c r="D30" s="8">
        <v>-5</v>
      </c>
      <c r="E30" s="2"/>
      <c r="F30" s="2"/>
      <c r="G30" s="2"/>
      <c r="H30" s="2"/>
      <c r="I30" s="2"/>
      <c r="J30" s="2"/>
      <c r="K30" s="2"/>
      <c r="L30" s="2"/>
      <c r="M30" s="2"/>
      <c r="N30" s="2"/>
      <c r="O30" s="2"/>
      <c r="P30" s="2"/>
      <c r="Q30" s="2"/>
      <c r="R30" s="2"/>
      <c r="S30" s="2"/>
    </row>
    <row r="31" spans="1:19" x14ac:dyDescent="0.2">
      <c r="A31" s="2"/>
      <c r="B31" s="15" t="s">
        <v>16</v>
      </c>
      <c r="C31" s="85">
        <v>24.541745816372639</v>
      </c>
      <c r="D31" s="8">
        <v>-10</v>
      </c>
      <c r="E31" s="2"/>
      <c r="F31" s="2"/>
      <c r="G31" s="2"/>
      <c r="H31" s="2"/>
      <c r="I31" s="2"/>
      <c r="J31" s="2"/>
      <c r="K31" s="2"/>
      <c r="L31" s="2"/>
      <c r="M31" s="2"/>
      <c r="N31" s="2"/>
      <c r="O31" s="2"/>
      <c r="P31" s="2"/>
      <c r="Q31" s="2"/>
      <c r="R31" s="2"/>
      <c r="S31" s="2"/>
    </row>
    <row r="32" spans="1:19" x14ac:dyDescent="0.2">
      <c r="A32" s="2"/>
      <c r="B32" s="15">
        <v>4</v>
      </c>
      <c r="C32" s="85">
        <v>25.395979899497473</v>
      </c>
      <c r="D32" s="8">
        <v>-11</v>
      </c>
      <c r="E32" s="2"/>
      <c r="F32" s="2"/>
      <c r="G32" s="2"/>
      <c r="H32" s="2"/>
      <c r="I32" s="2"/>
      <c r="J32" s="2"/>
      <c r="K32" s="2"/>
      <c r="L32" s="2"/>
      <c r="M32" s="2"/>
      <c r="N32" s="2"/>
      <c r="O32" s="2"/>
      <c r="P32" s="2"/>
      <c r="Q32" s="2"/>
      <c r="R32" s="2"/>
      <c r="S32" s="2"/>
    </row>
    <row r="33" spans="1:23" x14ac:dyDescent="0.2">
      <c r="A33" s="2"/>
      <c r="B33" s="15" t="s">
        <v>17</v>
      </c>
      <c r="C33" s="85">
        <v>28.907142857142837</v>
      </c>
      <c r="D33" s="8">
        <v>-14</v>
      </c>
      <c r="E33" s="2"/>
      <c r="F33" s="2"/>
      <c r="G33" s="2"/>
      <c r="H33" s="2"/>
      <c r="I33" s="2"/>
      <c r="J33" s="2"/>
      <c r="K33" s="2"/>
      <c r="L33" s="2"/>
      <c r="M33" s="2"/>
      <c r="N33" s="2"/>
      <c r="O33" s="2"/>
      <c r="P33" s="2"/>
      <c r="Q33" s="2"/>
      <c r="R33" s="2"/>
      <c r="S33" s="2"/>
    </row>
    <row r="34" spans="1:23" x14ac:dyDescent="0.2">
      <c r="A34" s="2"/>
      <c r="B34" s="15" t="s">
        <v>18</v>
      </c>
      <c r="C34" s="85">
        <v>30.35</v>
      </c>
      <c r="D34" s="8">
        <v>-16</v>
      </c>
      <c r="E34" s="2"/>
      <c r="F34" s="2"/>
      <c r="G34" s="2"/>
      <c r="H34" s="2"/>
      <c r="I34" s="2"/>
      <c r="J34" s="2"/>
      <c r="K34" s="2"/>
      <c r="L34" s="2"/>
      <c r="M34" s="2"/>
      <c r="N34" s="2"/>
      <c r="O34" s="2"/>
      <c r="P34" s="2"/>
      <c r="Q34" s="2"/>
      <c r="R34" s="2"/>
      <c r="S34" s="2"/>
    </row>
    <row r="35" spans="1:23" x14ac:dyDescent="0.2">
      <c r="A35" s="2"/>
      <c r="B35" s="15">
        <v>5</v>
      </c>
      <c r="C35" s="85">
        <v>31.8</v>
      </c>
      <c r="D35" s="8">
        <v>-19</v>
      </c>
      <c r="E35" s="2"/>
      <c r="F35" s="10"/>
      <c r="G35" s="10"/>
      <c r="H35" s="2"/>
      <c r="I35" s="2"/>
      <c r="J35" s="2"/>
      <c r="K35" s="2"/>
      <c r="L35" s="2"/>
      <c r="M35" s="2"/>
      <c r="N35" s="2"/>
      <c r="O35" s="2"/>
      <c r="P35" s="2"/>
      <c r="Q35" s="2"/>
      <c r="R35" s="2"/>
      <c r="S35" s="2"/>
    </row>
    <row r="36" spans="1:23" x14ac:dyDescent="0.2">
      <c r="A36" s="2"/>
      <c r="B36" s="16" t="s">
        <v>19</v>
      </c>
      <c r="C36" s="86">
        <v>45.6</v>
      </c>
      <c r="D36" s="17">
        <v>-21</v>
      </c>
      <c r="E36" s="2"/>
      <c r="F36" s="2"/>
      <c r="G36" s="11" t="s">
        <v>64</v>
      </c>
      <c r="H36" s="12"/>
      <c r="I36" s="12"/>
      <c r="J36" s="12"/>
      <c r="K36" s="13"/>
      <c r="L36" s="10"/>
      <c r="M36" s="24" t="s">
        <v>40</v>
      </c>
      <c r="N36" s="13" t="s">
        <v>41</v>
      </c>
      <c r="O36" s="54"/>
      <c r="P36" s="27"/>
      <c r="Q36" s="2"/>
      <c r="R36" s="2"/>
      <c r="S36" s="2"/>
      <c r="T36" s="23"/>
      <c r="U36" s="23"/>
      <c r="V36" s="22"/>
      <c r="W36" s="1"/>
    </row>
    <row r="37" spans="1:23" x14ac:dyDescent="0.2">
      <c r="A37" s="2"/>
      <c r="B37" s="2"/>
      <c r="C37" s="2"/>
      <c r="D37" s="2"/>
      <c r="E37" s="10"/>
      <c r="F37" s="2"/>
      <c r="G37" s="45" t="s">
        <v>9</v>
      </c>
      <c r="H37" s="46" t="s">
        <v>39</v>
      </c>
      <c r="I37" s="46" t="s">
        <v>56</v>
      </c>
      <c r="J37" s="47" t="s">
        <v>48</v>
      </c>
      <c r="K37" s="48" t="s">
        <v>47</v>
      </c>
      <c r="L37" s="10"/>
      <c r="M37" s="25">
        <v>1</v>
      </c>
      <c r="N37" s="31">
        <v>0</v>
      </c>
      <c r="O37" s="55"/>
      <c r="P37" s="27"/>
      <c r="Q37" s="2"/>
      <c r="R37" s="2"/>
      <c r="S37" s="2"/>
      <c r="T37" s="23"/>
      <c r="U37" s="23"/>
      <c r="V37" s="22"/>
      <c r="W37" s="1"/>
    </row>
    <row r="38" spans="1:23" x14ac:dyDescent="0.2">
      <c r="A38" s="2"/>
      <c r="B38" s="11" t="s">
        <v>266</v>
      </c>
      <c r="C38" s="12"/>
      <c r="D38" s="5"/>
      <c r="E38" s="6"/>
      <c r="F38" s="2"/>
      <c r="G38" s="15">
        <v>27</v>
      </c>
      <c r="H38" s="147">
        <v>70.809999999999988</v>
      </c>
      <c r="I38" s="15">
        <v>27</v>
      </c>
      <c r="J38" s="30"/>
      <c r="K38" s="44">
        <v>45838</v>
      </c>
      <c r="L38" s="53"/>
      <c r="M38" s="25">
        <v>2</v>
      </c>
      <c r="N38" s="31">
        <v>5.25</v>
      </c>
      <c r="O38" s="55"/>
      <c r="P38" s="27"/>
      <c r="Q38" s="2"/>
      <c r="R38" s="2"/>
      <c r="S38" s="2"/>
      <c r="T38" s="23"/>
      <c r="U38" s="23"/>
      <c r="V38" s="22"/>
      <c r="W38" s="1"/>
    </row>
    <row r="39" spans="1:23" x14ac:dyDescent="0.2">
      <c r="A39" s="2"/>
      <c r="B39" s="14" t="s">
        <v>23</v>
      </c>
      <c r="C39" s="7" t="s">
        <v>21</v>
      </c>
      <c r="D39" s="7" t="s">
        <v>46</v>
      </c>
      <c r="E39" s="111" t="s">
        <v>237</v>
      </c>
      <c r="F39" s="2"/>
      <c r="G39" s="15">
        <v>28</v>
      </c>
      <c r="H39" s="147">
        <v>70.809999999999988</v>
      </c>
      <c r="I39" s="15">
        <v>28</v>
      </c>
      <c r="J39" s="50">
        <f>H39-H38</f>
        <v>0</v>
      </c>
      <c r="K39" s="44">
        <f>K38+7</f>
        <v>45845</v>
      </c>
      <c r="L39" s="53"/>
      <c r="M39" s="25">
        <v>3</v>
      </c>
      <c r="N39" s="31">
        <v>8.0500000000000007</v>
      </c>
      <c r="O39" s="55"/>
      <c r="P39" s="27"/>
      <c r="Q39" s="2"/>
      <c r="R39" s="2"/>
      <c r="S39" s="2"/>
      <c r="T39" s="23"/>
      <c r="U39" s="23"/>
      <c r="V39" s="22"/>
      <c r="W39" s="1"/>
    </row>
    <row r="40" spans="1:23" x14ac:dyDescent="0.2">
      <c r="A40" s="2"/>
      <c r="B40" s="14" t="s">
        <v>24</v>
      </c>
      <c r="C40" s="85">
        <v>4.6968858131487883</v>
      </c>
      <c r="D40" s="33">
        <v>-24</v>
      </c>
      <c r="E40" s="107">
        <v>0</v>
      </c>
      <c r="F40" s="2"/>
      <c r="G40" s="15">
        <v>29</v>
      </c>
      <c r="H40" s="147">
        <v>70.809999999999988</v>
      </c>
      <c r="I40" s="15">
        <v>29</v>
      </c>
      <c r="J40" s="50">
        <f t="shared" ref="J40:J63" si="0">H40-H39</f>
        <v>0</v>
      </c>
      <c r="K40" s="44">
        <f t="shared" ref="K40:K63" si="1">K39+7</f>
        <v>45852</v>
      </c>
      <c r="L40" s="53"/>
      <c r="M40" s="25">
        <v>4</v>
      </c>
      <c r="N40" s="31">
        <v>19.149999999999999</v>
      </c>
      <c r="O40" s="55"/>
      <c r="P40" s="27"/>
      <c r="Q40" s="2"/>
      <c r="R40" s="2"/>
      <c r="S40" s="2"/>
      <c r="T40" s="23"/>
      <c r="U40" s="23"/>
      <c r="V40" s="22"/>
      <c r="W40" s="1"/>
    </row>
    <row r="41" spans="1:23" x14ac:dyDescent="0.2">
      <c r="A41" s="2"/>
      <c r="B41" s="14" t="s">
        <v>25</v>
      </c>
      <c r="C41" s="85">
        <v>6.0312921348314701</v>
      </c>
      <c r="D41" s="33">
        <v>-15.5</v>
      </c>
      <c r="E41" s="107">
        <v>0</v>
      </c>
      <c r="F41" s="2"/>
      <c r="G41" s="15">
        <v>30</v>
      </c>
      <c r="H41" s="147">
        <v>70.809999999999988</v>
      </c>
      <c r="I41" s="15">
        <v>30</v>
      </c>
      <c r="J41" s="50">
        <f t="shared" si="0"/>
        <v>0</v>
      </c>
      <c r="K41" s="44">
        <f t="shared" si="1"/>
        <v>45859</v>
      </c>
      <c r="L41" s="53"/>
      <c r="M41" s="26">
        <v>5</v>
      </c>
      <c r="N41" s="32">
        <v>19.899999999999999</v>
      </c>
      <c r="O41" s="55"/>
      <c r="P41" s="27"/>
      <c r="Q41" s="2"/>
      <c r="R41" s="2"/>
      <c r="S41" s="2"/>
      <c r="T41" s="23"/>
      <c r="U41" s="23"/>
      <c r="V41" s="22"/>
      <c r="W41" s="1"/>
    </row>
    <row r="42" spans="1:23" x14ac:dyDescent="0.2">
      <c r="A42" s="2"/>
      <c r="B42" s="14" t="s">
        <v>26</v>
      </c>
      <c r="C42" s="85">
        <v>7.5920336391437484</v>
      </c>
      <c r="D42" s="33">
        <v>-12</v>
      </c>
      <c r="E42" s="107">
        <v>0</v>
      </c>
      <c r="F42" s="2"/>
      <c r="G42" s="15">
        <v>31</v>
      </c>
      <c r="H42" s="147">
        <v>73.809999999999988</v>
      </c>
      <c r="I42" s="15">
        <v>31</v>
      </c>
      <c r="J42" s="50">
        <f t="shared" si="0"/>
        <v>3</v>
      </c>
      <c r="K42" s="44">
        <f t="shared" si="1"/>
        <v>45866</v>
      </c>
      <c r="L42" s="53"/>
      <c r="M42" s="20"/>
      <c r="N42" s="20"/>
      <c r="O42" s="2"/>
      <c r="P42" s="27"/>
      <c r="Q42" s="2"/>
      <c r="R42" s="2"/>
      <c r="S42" s="2"/>
      <c r="T42" s="23"/>
      <c r="U42" s="23"/>
      <c r="V42" s="22"/>
      <c r="W42" s="1"/>
    </row>
    <row r="43" spans="1:23" x14ac:dyDescent="0.2">
      <c r="A43" s="2"/>
      <c r="B43" s="14" t="s">
        <v>27</v>
      </c>
      <c r="C43" s="85">
        <v>9.0035008162524353</v>
      </c>
      <c r="D43" s="33">
        <v>-7</v>
      </c>
      <c r="E43" s="107">
        <v>0</v>
      </c>
      <c r="F43" s="2"/>
      <c r="G43" s="15">
        <v>32</v>
      </c>
      <c r="H43" s="147">
        <v>73.809999999999988</v>
      </c>
      <c r="I43" s="15">
        <v>32</v>
      </c>
      <c r="J43" s="50">
        <f t="shared" si="0"/>
        <v>0</v>
      </c>
      <c r="K43" s="44">
        <f t="shared" si="1"/>
        <v>45873</v>
      </c>
      <c r="L43" s="53"/>
      <c r="M43" s="70" t="s">
        <v>65</v>
      </c>
      <c r="N43" s="71" t="s">
        <v>66</v>
      </c>
      <c r="O43" s="13" t="s">
        <v>68</v>
      </c>
      <c r="P43" s="61"/>
      <c r="Q43" s="2"/>
      <c r="R43" s="2"/>
      <c r="S43" s="2"/>
      <c r="T43" s="23"/>
      <c r="U43" s="23"/>
      <c r="V43" s="22"/>
      <c r="W43" s="1"/>
    </row>
    <row r="44" spans="1:23" x14ac:dyDescent="0.2">
      <c r="A44" s="2"/>
      <c r="B44" s="14" t="s">
        <v>28</v>
      </c>
      <c r="C44" s="85">
        <v>10.338071080217379</v>
      </c>
      <c r="D44" s="33">
        <v>-4</v>
      </c>
      <c r="E44" s="107">
        <v>0</v>
      </c>
      <c r="F44" s="2"/>
      <c r="G44" s="15">
        <v>33</v>
      </c>
      <c r="H44" s="147">
        <v>73.809999999999988</v>
      </c>
      <c r="I44" s="15">
        <v>33</v>
      </c>
      <c r="J44" s="50">
        <f t="shared" si="0"/>
        <v>0</v>
      </c>
      <c r="K44" s="44">
        <f t="shared" si="1"/>
        <v>45880</v>
      </c>
      <c r="L44" s="53"/>
      <c r="M44" s="25">
        <v>0</v>
      </c>
      <c r="N44" s="73">
        <v>9</v>
      </c>
      <c r="O44" s="31">
        <v>-32.4</v>
      </c>
      <c r="P44" s="27"/>
      <c r="Q44" s="2"/>
      <c r="R44" s="2"/>
      <c r="S44" s="2"/>
      <c r="T44" s="23"/>
      <c r="U44" s="23"/>
      <c r="V44" s="22"/>
      <c r="W44" s="1"/>
    </row>
    <row r="45" spans="1:23" x14ac:dyDescent="0.2">
      <c r="A45" s="2"/>
      <c r="B45" s="14" t="s">
        <v>29</v>
      </c>
      <c r="C45" s="85">
        <v>12.995057900764944</v>
      </c>
      <c r="D45" s="33">
        <v>-3</v>
      </c>
      <c r="E45" s="107">
        <v>555</v>
      </c>
      <c r="F45" s="2"/>
      <c r="G45" s="15">
        <v>34</v>
      </c>
      <c r="H45" s="147">
        <v>73.809999999999988</v>
      </c>
      <c r="I45" s="15">
        <v>34</v>
      </c>
      <c r="J45" s="50">
        <f t="shared" si="0"/>
        <v>0</v>
      </c>
      <c r="K45" s="44">
        <f t="shared" si="1"/>
        <v>45887</v>
      </c>
      <c r="L45" s="53"/>
      <c r="M45" s="25">
        <f t="shared" ref="M45:M51" si="2">N44+0.1</f>
        <v>9.1</v>
      </c>
      <c r="N45" s="73">
        <v>11</v>
      </c>
      <c r="O45" s="31">
        <v>-24.4</v>
      </c>
      <c r="P45" s="27"/>
      <c r="Q45" s="2"/>
      <c r="R45" s="2"/>
      <c r="S45" s="2"/>
      <c r="T45" s="23"/>
      <c r="U45" s="23"/>
      <c r="V45" s="22"/>
      <c r="W45" s="1"/>
    </row>
    <row r="46" spans="1:23" x14ac:dyDescent="0.2">
      <c r="A46" s="2"/>
      <c r="B46" s="14" t="s">
        <v>30</v>
      </c>
      <c r="C46" s="85">
        <v>15.95684124480311</v>
      </c>
      <c r="D46" s="33">
        <v>-1.5</v>
      </c>
      <c r="E46" s="107">
        <v>555</v>
      </c>
      <c r="F46" s="2"/>
      <c r="G46" s="15">
        <v>35</v>
      </c>
      <c r="H46" s="147">
        <v>73.31</v>
      </c>
      <c r="I46" s="15">
        <v>35</v>
      </c>
      <c r="J46" s="50">
        <f t="shared" si="0"/>
        <v>-0.49999999999998579</v>
      </c>
      <c r="K46" s="44">
        <f t="shared" si="1"/>
        <v>45894</v>
      </c>
      <c r="L46" s="53"/>
      <c r="M46" s="25">
        <f t="shared" si="2"/>
        <v>11.1</v>
      </c>
      <c r="N46" s="73">
        <v>13</v>
      </c>
      <c r="O46" s="31">
        <v>-11.9</v>
      </c>
      <c r="P46" s="27"/>
      <c r="Q46" s="2"/>
      <c r="R46" s="2"/>
      <c r="S46" s="2"/>
      <c r="T46" s="23"/>
      <c r="U46" s="23"/>
      <c r="V46" s="22"/>
      <c r="W46" s="1"/>
    </row>
    <row r="47" spans="1:23" x14ac:dyDescent="0.2">
      <c r="A47" s="2"/>
      <c r="B47" s="14" t="s">
        <v>31</v>
      </c>
      <c r="C47" s="85">
        <v>18.621155471419687</v>
      </c>
      <c r="D47" s="33">
        <v>0</v>
      </c>
      <c r="E47" s="107">
        <v>555</v>
      </c>
      <c r="F47" s="2"/>
      <c r="G47" s="15">
        <v>36</v>
      </c>
      <c r="H47" s="147">
        <v>72.31</v>
      </c>
      <c r="I47" s="15">
        <v>36</v>
      </c>
      <c r="J47" s="50">
        <f t="shared" si="0"/>
        <v>-1</v>
      </c>
      <c r="K47" s="44">
        <f t="shared" si="1"/>
        <v>45901</v>
      </c>
      <c r="L47" s="53"/>
      <c r="M47" s="25">
        <f t="shared" si="2"/>
        <v>13.1</v>
      </c>
      <c r="N47" s="73">
        <v>15</v>
      </c>
      <c r="O47" s="31">
        <v>-6.3</v>
      </c>
      <c r="P47" s="27"/>
      <c r="Q47" s="2"/>
      <c r="R47" s="2"/>
      <c r="S47" s="2"/>
      <c r="T47" s="23"/>
      <c r="U47" s="23"/>
      <c r="V47" s="22"/>
      <c r="W47" s="1"/>
    </row>
    <row r="48" spans="1:23" x14ac:dyDescent="0.2">
      <c r="A48" s="2"/>
      <c r="B48" s="14" t="s">
        <v>32</v>
      </c>
      <c r="C48" s="85">
        <v>21.159607378697359</v>
      </c>
      <c r="D48" s="33">
        <v>1.5</v>
      </c>
      <c r="E48" s="107">
        <v>555</v>
      </c>
      <c r="F48" s="2"/>
      <c r="G48" s="15">
        <v>37</v>
      </c>
      <c r="H48" s="147">
        <v>69.31</v>
      </c>
      <c r="I48" s="15">
        <v>37</v>
      </c>
      <c r="J48" s="50">
        <f t="shared" si="0"/>
        <v>-3</v>
      </c>
      <c r="K48" s="44">
        <f t="shared" si="1"/>
        <v>45908</v>
      </c>
      <c r="L48" s="53"/>
      <c r="M48" s="25">
        <f t="shared" si="2"/>
        <v>15.1</v>
      </c>
      <c r="N48" s="73">
        <v>18</v>
      </c>
      <c r="O48" s="31">
        <v>-1.2</v>
      </c>
      <c r="P48" s="27"/>
      <c r="Q48" s="2"/>
      <c r="R48" s="2"/>
      <c r="S48" s="2"/>
      <c r="T48" s="23"/>
      <c r="U48" s="23"/>
      <c r="V48" s="22"/>
      <c r="W48" s="1"/>
    </row>
    <row r="49" spans="1:19" x14ac:dyDescent="0.2">
      <c r="A49" s="2"/>
      <c r="B49" s="14" t="s">
        <v>33</v>
      </c>
      <c r="C49" s="85">
        <v>23.915892910432561</v>
      </c>
      <c r="D49" s="33">
        <v>2</v>
      </c>
      <c r="E49" s="107">
        <v>555</v>
      </c>
      <c r="F49" s="2"/>
      <c r="G49" s="15">
        <v>38</v>
      </c>
      <c r="H49" s="147">
        <v>66.81</v>
      </c>
      <c r="I49" s="15">
        <v>38</v>
      </c>
      <c r="J49" s="50">
        <f t="shared" si="0"/>
        <v>-2.5</v>
      </c>
      <c r="K49" s="44">
        <f t="shared" si="1"/>
        <v>45915</v>
      </c>
      <c r="L49" s="53"/>
      <c r="M49" s="25">
        <f t="shared" si="2"/>
        <v>18.100000000000001</v>
      </c>
      <c r="N49" s="73">
        <v>24</v>
      </c>
      <c r="O49" s="31">
        <v>0</v>
      </c>
      <c r="P49" s="2"/>
      <c r="Q49" s="2"/>
      <c r="R49" s="2"/>
      <c r="S49" s="2"/>
    </row>
    <row r="50" spans="1:19" x14ac:dyDescent="0.2">
      <c r="A50" s="2"/>
      <c r="B50" s="14" t="s">
        <v>34</v>
      </c>
      <c r="C50" s="85">
        <v>27.328555900621023</v>
      </c>
      <c r="D50" s="33">
        <v>2.5</v>
      </c>
      <c r="E50" s="107">
        <v>555</v>
      </c>
      <c r="F50" s="2"/>
      <c r="G50" s="15">
        <v>39</v>
      </c>
      <c r="H50" s="147">
        <v>64.81</v>
      </c>
      <c r="I50" s="15">
        <v>39</v>
      </c>
      <c r="J50" s="50">
        <f t="shared" si="0"/>
        <v>-2</v>
      </c>
      <c r="K50" s="44">
        <f t="shared" si="1"/>
        <v>45922</v>
      </c>
      <c r="L50" s="53"/>
      <c r="M50" s="25">
        <f t="shared" si="2"/>
        <v>24.1</v>
      </c>
      <c r="N50" s="73">
        <v>28</v>
      </c>
      <c r="O50" s="31">
        <v>-0.7</v>
      </c>
      <c r="P50" s="2"/>
      <c r="Q50" s="2"/>
      <c r="R50" s="2"/>
      <c r="S50" s="2"/>
    </row>
    <row r="51" spans="1:19" x14ac:dyDescent="0.2">
      <c r="A51" s="2"/>
      <c r="B51" s="14" t="s">
        <v>35</v>
      </c>
      <c r="C51" s="85">
        <v>30.141153081510957</v>
      </c>
      <c r="D51" s="33">
        <v>3</v>
      </c>
      <c r="E51" s="107">
        <v>555</v>
      </c>
      <c r="F51" s="2"/>
      <c r="G51" s="15">
        <v>40</v>
      </c>
      <c r="H51" s="147">
        <v>63.31</v>
      </c>
      <c r="I51" s="15">
        <v>40</v>
      </c>
      <c r="J51" s="50">
        <f t="shared" si="0"/>
        <v>-1.5</v>
      </c>
      <c r="K51" s="44">
        <f t="shared" si="1"/>
        <v>45929</v>
      </c>
      <c r="L51" s="53"/>
      <c r="M51" s="26">
        <f t="shared" si="2"/>
        <v>28.1</v>
      </c>
      <c r="N51" s="74">
        <v>999</v>
      </c>
      <c r="O51" s="32">
        <v>-1.7</v>
      </c>
      <c r="P51" s="2"/>
      <c r="Q51" s="2"/>
      <c r="R51" s="2"/>
      <c r="S51" s="2"/>
    </row>
    <row r="52" spans="1:19" x14ac:dyDescent="0.2">
      <c r="A52" s="2"/>
      <c r="B52" s="14" t="s">
        <v>36</v>
      </c>
      <c r="C52" s="85">
        <v>27.632258064516122</v>
      </c>
      <c r="D52" s="33">
        <v>3.5</v>
      </c>
      <c r="E52" s="107">
        <v>555</v>
      </c>
      <c r="F52" s="2"/>
      <c r="G52" s="15">
        <v>41</v>
      </c>
      <c r="H52" s="147">
        <v>63.31</v>
      </c>
      <c r="I52" s="15">
        <v>41</v>
      </c>
      <c r="J52" s="50">
        <f t="shared" si="0"/>
        <v>0</v>
      </c>
      <c r="K52" s="44">
        <f t="shared" si="1"/>
        <v>45936</v>
      </c>
      <c r="L52" s="53"/>
      <c r="M52" s="20"/>
      <c r="N52" s="20"/>
      <c r="O52" s="2"/>
      <c r="P52" s="2"/>
      <c r="Q52" s="2"/>
      <c r="R52" s="2"/>
      <c r="S52" s="2"/>
    </row>
    <row r="53" spans="1:19" x14ac:dyDescent="0.2">
      <c r="A53" s="2"/>
      <c r="B53" s="14" t="s">
        <v>37</v>
      </c>
      <c r="C53" s="85">
        <v>27.475000000000001</v>
      </c>
      <c r="D53" s="33">
        <v>4</v>
      </c>
      <c r="E53" s="107">
        <v>555</v>
      </c>
      <c r="F53" s="2"/>
      <c r="G53" s="15">
        <v>42</v>
      </c>
      <c r="H53" s="147">
        <v>63.31</v>
      </c>
      <c r="I53" s="15">
        <v>42</v>
      </c>
      <c r="J53" s="50">
        <f t="shared" si="0"/>
        <v>0</v>
      </c>
      <c r="K53" s="44">
        <f t="shared" si="1"/>
        <v>45943</v>
      </c>
      <c r="L53" s="53"/>
      <c r="M53" s="76" t="s">
        <v>78</v>
      </c>
      <c r="N53" s="81" t="s">
        <v>73</v>
      </c>
      <c r="O53" s="79" t="s">
        <v>74</v>
      </c>
      <c r="P53" s="2"/>
      <c r="Q53" s="2"/>
      <c r="R53" s="2"/>
      <c r="S53" s="2"/>
    </row>
    <row r="54" spans="1:19" x14ac:dyDescent="0.2">
      <c r="A54" s="2"/>
      <c r="B54" s="9" t="s">
        <v>38</v>
      </c>
      <c r="C54" s="86">
        <v>25.533333333333328</v>
      </c>
      <c r="D54" s="34">
        <v>4.5</v>
      </c>
      <c r="E54" s="154">
        <v>555</v>
      </c>
      <c r="F54" s="2"/>
      <c r="G54" s="15">
        <v>43</v>
      </c>
      <c r="H54" s="147">
        <v>63.31</v>
      </c>
      <c r="I54" s="15">
        <v>43</v>
      </c>
      <c r="J54" s="50">
        <f t="shared" si="0"/>
        <v>0</v>
      </c>
      <c r="K54" s="44">
        <f t="shared" si="1"/>
        <v>45950</v>
      </c>
      <c r="L54" s="53"/>
      <c r="M54" s="77" t="s">
        <v>79</v>
      </c>
      <c r="N54" s="82">
        <v>1</v>
      </c>
      <c r="O54" s="72">
        <v>0</v>
      </c>
      <c r="P54" s="2"/>
      <c r="Q54" s="2"/>
      <c r="R54" s="2"/>
      <c r="S54" s="2"/>
    </row>
    <row r="55" spans="1:19" x14ac:dyDescent="0.2">
      <c r="A55" s="2"/>
      <c r="B55" s="2"/>
      <c r="C55" s="2"/>
      <c r="D55" s="2"/>
      <c r="E55" s="2"/>
      <c r="F55" s="2"/>
      <c r="G55" s="15">
        <v>44</v>
      </c>
      <c r="H55" s="147">
        <v>63.31</v>
      </c>
      <c r="I55" s="15">
        <v>44</v>
      </c>
      <c r="J55" s="50">
        <f t="shared" si="0"/>
        <v>0</v>
      </c>
      <c r="K55" s="44">
        <f t="shared" si="1"/>
        <v>45957</v>
      </c>
      <c r="L55" s="53"/>
      <c r="M55" s="77" t="s">
        <v>81</v>
      </c>
      <c r="N55" s="82">
        <v>2</v>
      </c>
      <c r="O55" s="72">
        <v>0.4</v>
      </c>
      <c r="P55" s="2"/>
      <c r="Q55" s="2"/>
      <c r="R55" s="2"/>
      <c r="S55" s="2"/>
    </row>
    <row r="56" spans="1:19" x14ac:dyDescent="0.2">
      <c r="A56" s="2"/>
      <c r="B56" s="2"/>
      <c r="C56" s="2"/>
      <c r="D56" s="2"/>
      <c r="E56" s="2"/>
      <c r="F56" s="2"/>
      <c r="G56" s="15">
        <v>45</v>
      </c>
      <c r="H56" s="147">
        <v>63.31</v>
      </c>
      <c r="I56" s="15">
        <v>45</v>
      </c>
      <c r="J56" s="50">
        <f t="shared" si="0"/>
        <v>0</v>
      </c>
      <c r="K56" s="44">
        <f t="shared" si="1"/>
        <v>45964</v>
      </c>
      <c r="L56" s="53"/>
      <c r="M56" s="77" t="s">
        <v>82</v>
      </c>
      <c r="N56" s="82">
        <v>3</v>
      </c>
      <c r="O56" s="72">
        <v>0.8</v>
      </c>
      <c r="P56" s="2"/>
      <c r="Q56" s="2"/>
      <c r="R56" s="2"/>
      <c r="S56" s="2"/>
    </row>
    <row r="57" spans="1:19" x14ac:dyDescent="0.2">
      <c r="A57" s="2"/>
      <c r="B57" s="11" t="s">
        <v>51</v>
      </c>
      <c r="C57" s="12"/>
      <c r="D57" s="12"/>
      <c r="E57" s="18"/>
      <c r="F57" s="2"/>
      <c r="G57" s="15">
        <v>46</v>
      </c>
      <c r="H57" s="147">
        <v>63.31</v>
      </c>
      <c r="I57" s="15">
        <v>46</v>
      </c>
      <c r="J57" s="50">
        <f t="shared" si="0"/>
        <v>0</v>
      </c>
      <c r="K57" s="44">
        <f t="shared" si="1"/>
        <v>45971</v>
      </c>
      <c r="L57" s="53"/>
      <c r="M57" s="77" t="s">
        <v>83</v>
      </c>
      <c r="N57" s="82">
        <v>4</v>
      </c>
      <c r="O57" s="72">
        <v>1.2</v>
      </c>
      <c r="P57" s="2"/>
      <c r="Q57" s="2"/>
      <c r="R57" s="2"/>
      <c r="S57" s="2"/>
    </row>
    <row r="58" spans="1:19" x14ac:dyDescent="0.2">
      <c r="A58" s="2"/>
      <c r="B58" s="45" t="s">
        <v>52</v>
      </c>
      <c r="C58" s="58" t="s">
        <v>54</v>
      </c>
      <c r="D58" s="58" t="s">
        <v>51</v>
      </c>
      <c r="E58" s="18"/>
      <c r="F58" s="2"/>
      <c r="G58" s="15">
        <v>47</v>
      </c>
      <c r="H58" s="147">
        <v>63.31</v>
      </c>
      <c r="I58" s="15">
        <v>47</v>
      </c>
      <c r="J58" s="50">
        <f t="shared" si="0"/>
        <v>0</v>
      </c>
      <c r="K58" s="44">
        <f t="shared" si="1"/>
        <v>45978</v>
      </c>
      <c r="L58" s="53"/>
      <c r="M58" s="78" t="s">
        <v>84</v>
      </c>
      <c r="N58" s="83">
        <v>5</v>
      </c>
      <c r="O58" s="75">
        <v>1.7</v>
      </c>
      <c r="P58" s="2"/>
      <c r="Q58" s="2"/>
      <c r="R58" s="2"/>
      <c r="S58" s="2"/>
    </row>
    <row r="59" spans="1:19" x14ac:dyDescent="0.2">
      <c r="A59" s="2"/>
      <c r="B59" s="14" t="s">
        <v>50</v>
      </c>
      <c r="C59" s="57">
        <v>1</v>
      </c>
      <c r="D59" s="141">
        <v>0</v>
      </c>
      <c r="E59" s="18"/>
      <c r="F59" s="2"/>
      <c r="G59" s="15">
        <v>48</v>
      </c>
      <c r="H59" s="147">
        <v>63.31</v>
      </c>
      <c r="I59" s="15">
        <v>48</v>
      </c>
      <c r="J59" s="50">
        <f t="shared" si="0"/>
        <v>0</v>
      </c>
      <c r="K59" s="44">
        <f t="shared" si="1"/>
        <v>45985</v>
      </c>
      <c r="L59" s="53"/>
      <c r="M59" s="2"/>
      <c r="N59" s="2"/>
      <c r="O59" s="2"/>
      <c r="P59" s="2"/>
      <c r="Q59" s="2"/>
      <c r="R59" s="2"/>
      <c r="S59" s="2"/>
    </row>
    <row r="60" spans="1:19" x14ac:dyDescent="0.2">
      <c r="A60" s="2"/>
      <c r="B60" s="14" t="s">
        <v>267</v>
      </c>
      <c r="C60" s="57">
        <v>2</v>
      </c>
      <c r="D60" s="141">
        <v>0.75</v>
      </c>
      <c r="E60" s="18"/>
      <c r="F60" s="2"/>
      <c r="G60" s="15">
        <v>49</v>
      </c>
      <c r="H60" s="147">
        <v>63.31</v>
      </c>
      <c r="I60" s="15">
        <v>49</v>
      </c>
      <c r="J60" s="50">
        <f t="shared" si="0"/>
        <v>0</v>
      </c>
      <c r="K60" s="44">
        <f t="shared" si="1"/>
        <v>45992</v>
      </c>
      <c r="L60" s="53"/>
      <c r="M60" s="2"/>
      <c r="N60" s="2"/>
      <c r="O60" s="2"/>
      <c r="P60" s="2"/>
      <c r="Q60" s="2"/>
      <c r="R60" s="2"/>
      <c r="S60" s="2"/>
    </row>
    <row r="61" spans="1:19" x14ac:dyDescent="0.2">
      <c r="A61" s="2"/>
      <c r="B61" s="14" t="s">
        <v>268</v>
      </c>
      <c r="C61" s="57">
        <v>3</v>
      </c>
      <c r="D61" s="141">
        <v>1</v>
      </c>
      <c r="E61" s="18"/>
      <c r="F61" s="2"/>
      <c r="G61" s="15">
        <v>50</v>
      </c>
      <c r="H61" s="147">
        <v>63.31</v>
      </c>
      <c r="I61" s="15">
        <v>50</v>
      </c>
      <c r="J61" s="50">
        <f t="shared" si="0"/>
        <v>0</v>
      </c>
      <c r="K61" s="44">
        <f t="shared" si="1"/>
        <v>45999</v>
      </c>
      <c r="L61" s="53"/>
      <c r="M61" s="2"/>
      <c r="N61" s="2"/>
      <c r="O61" s="2"/>
      <c r="P61" s="2"/>
      <c r="Q61" s="2"/>
      <c r="R61" s="2"/>
      <c r="S61" s="2"/>
    </row>
    <row r="62" spans="1:19" x14ac:dyDescent="0.2">
      <c r="A62" s="2"/>
      <c r="B62" s="14" t="s">
        <v>269</v>
      </c>
      <c r="C62" s="57">
        <v>4</v>
      </c>
      <c r="D62" s="141">
        <v>1.5</v>
      </c>
      <c r="E62" s="18"/>
      <c r="F62" s="2"/>
      <c r="G62" s="15">
        <v>51</v>
      </c>
      <c r="H62" s="147">
        <v>63.31</v>
      </c>
      <c r="I62" s="15">
        <v>51</v>
      </c>
      <c r="J62" s="50">
        <f t="shared" si="0"/>
        <v>0</v>
      </c>
      <c r="K62" s="44">
        <f t="shared" si="1"/>
        <v>46006</v>
      </c>
      <c r="L62" s="53"/>
      <c r="M62" s="2"/>
      <c r="N62" s="2"/>
      <c r="O62" s="2"/>
      <c r="P62" s="2"/>
      <c r="Q62" s="2"/>
      <c r="R62" s="2"/>
      <c r="S62" s="2"/>
    </row>
    <row r="63" spans="1:19" x14ac:dyDescent="0.2">
      <c r="A63" s="2"/>
      <c r="B63" s="14" t="s">
        <v>270</v>
      </c>
      <c r="C63" s="57">
        <v>5</v>
      </c>
      <c r="D63" s="141">
        <v>2.5</v>
      </c>
      <c r="E63" s="18"/>
      <c r="F63" s="2"/>
      <c r="G63" s="16">
        <v>52</v>
      </c>
      <c r="H63" s="148">
        <v>63.31</v>
      </c>
      <c r="I63" s="16">
        <v>52</v>
      </c>
      <c r="J63" s="51">
        <f t="shared" si="0"/>
        <v>0</v>
      </c>
      <c r="K63" s="49">
        <f t="shared" si="1"/>
        <v>46013</v>
      </c>
      <c r="L63" s="53"/>
      <c r="M63" s="2"/>
      <c r="N63" s="2"/>
      <c r="O63" s="2"/>
      <c r="P63" s="2"/>
      <c r="Q63" s="2"/>
      <c r="R63" s="2"/>
      <c r="S63" s="2"/>
    </row>
    <row r="64" spans="1:19" x14ac:dyDescent="0.2">
      <c r="A64" s="2"/>
      <c r="B64" s="9" t="s">
        <v>271</v>
      </c>
      <c r="C64" s="105">
        <v>6</v>
      </c>
      <c r="D64" s="142">
        <v>3.5</v>
      </c>
      <c r="E64" s="18"/>
      <c r="F64" s="2"/>
      <c r="G64" s="2"/>
      <c r="H64" s="2"/>
      <c r="I64" s="2"/>
      <c r="J64" s="2"/>
      <c r="K64" s="2"/>
      <c r="L64" s="2"/>
      <c r="M64" s="2"/>
      <c r="N64" s="2"/>
      <c r="O64" s="2"/>
      <c r="P64" s="2"/>
      <c r="Q64" s="2"/>
      <c r="R64" s="2"/>
      <c r="S64" s="2"/>
    </row>
    <row r="65" spans="1:19" x14ac:dyDescent="0.2">
      <c r="A65" s="2"/>
      <c r="B65" s="2"/>
      <c r="C65" s="2"/>
      <c r="D65" s="112"/>
      <c r="E65" s="2"/>
      <c r="F65" s="2"/>
      <c r="G65" s="2"/>
      <c r="H65" s="2"/>
      <c r="I65" s="2"/>
      <c r="J65" s="2"/>
      <c r="K65" s="2"/>
      <c r="L65" s="2"/>
      <c r="M65" s="2"/>
      <c r="N65" s="2"/>
      <c r="O65" s="2"/>
      <c r="P65" s="2"/>
      <c r="Q65" s="2"/>
      <c r="R65" s="2"/>
      <c r="S65" s="2"/>
    </row>
    <row r="66" spans="1:19" x14ac:dyDescent="0.2">
      <c r="A66" s="2"/>
      <c r="B66" s="2"/>
      <c r="C66" s="2"/>
      <c r="D66" s="2"/>
      <c r="E66" s="2"/>
      <c r="F66" s="2"/>
      <c r="G66" s="2"/>
      <c r="H66" s="2"/>
      <c r="I66" s="2"/>
      <c r="J66" s="2"/>
      <c r="K66" s="2"/>
      <c r="L66" s="2"/>
      <c r="M66" s="2"/>
      <c r="N66" s="2"/>
      <c r="O66" s="2"/>
      <c r="P66" s="2"/>
      <c r="Q66" s="2"/>
      <c r="R66" s="2"/>
      <c r="S66" s="2"/>
    </row>
    <row r="67" spans="1:19" x14ac:dyDescent="0.2">
      <c r="A67" s="2"/>
      <c r="B67" s="2"/>
      <c r="C67" s="2"/>
      <c r="D67" s="2"/>
      <c r="E67" s="2"/>
      <c r="F67" s="2"/>
      <c r="G67" s="2"/>
      <c r="H67" s="2"/>
      <c r="I67" s="2"/>
      <c r="J67" s="2"/>
      <c r="K67" s="2"/>
      <c r="L67" s="2"/>
      <c r="M67" s="2"/>
      <c r="N67" s="2"/>
      <c r="O67" s="2"/>
      <c r="P67" s="2"/>
      <c r="Q67" s="2"/>
      <c r="R67" s="2"/>
      <c r="S67" s="2"/>
    </row>
    <row r="68" spans="1:19" x14ac:dyDescent="0.2">
      <c r="A68" s="2"/>
      <c r="B68" s="2"/>
      <c r="C68" s="2"/>
      <c r="D68" s="2"/>
      <c r="E68" s="2"/>
      <c r="F68" s="2"/>
      <c r="G68" s="2"/>
      <c r="H68" s="2"/>
      <c r="I68" s="2"/>
      <c r="J68" s="2"/>
      <c r="K68" s="2"/>
      <c r="L68" s="2"/>
      <c r="M68" s="2"/>
      <c r="N68" s="2"/>
      <c r="O68" s="2"/>
      <c r="P68" s="2"/>
      <c r="Q68" s="2"/>
      <c r="R68" s="2"/>
      <c r="S68" s="2"/>
    </row>
    <row r="69" spans="1:19" x14ac:dyDescent="0.2">
      <c r="A69" s="2"/>
      <c r="B69" s="2"/>
      <c r="C69" s="2"/>
      <c r="D69" s="2"/>
      <c r="E69" s="2"/>
      <c r="F69" s="2"/>
      <c r="G69" s="2"/>
      <c r="H69" s="2"/>
      <c r="I69" s="2"/>
      <c r="J69" s="2"/>
      <c r="K69" s="2"/>
      <c r="L69" s="2"/>
      <c r="M69" s="2"/>
      <c r="N69" s="2"/>
      <c r="O69" s="2"/>
      <c r="P69" s="2"/>
      <c r="Q69" s="2"/>
      <c r="R69" s="2"/>
      <c r="S69" s="2"/>
    </row>
  </sheetData>
  <phoneticPr fontId="2" type="noConversion"/>
  <pageMargins left="0.75" right="0.75" top="1" bottom="1" header="0.5" footer="0.5"/>
  <pageSetup paperSize="9" orientation="portrait" r:id="rId1"/>
  <headerFooter alignWithMargins="0">
    <oddHeader>&amp;L&amp;"Calibri"&amp;10&amp;K000000 INTERN&amp;1#_x000D_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2"/>
  <sheetViews>
    <sheetView workbookViewId="0">
      <selection activeCell="J20" sqref="J20"/>
    </sheetView>
  </sheetViews>
  <sheetFormatPr baseColWidth="10" defaultRowHeight="12.75" x14ac:dyDescent="0.2"/>
  <cols>
    <col min="1" max="1" width="6.42578125" customWidth="1"/>
    <col min="2" max="2" width="27.7109375" customWidth="1"/>
    <col min="3" max="3" width="8.140625" customWidth="1"/>
    <col min="4" max="4" width="4.7109375" customWidth="1"/>
  </cols>
  <sheetData>
    <row r="1" spans="1:4" x14ac:dyDescent="0.2">
      <c r="A1" s="2"/>
      <c r="B1" s="2"/>
      <c r="C1" s="2"/>
      <c r="D1" s="2"/>
    </row>
    <row r="2" spans="1:4" x14ac:dyDescent="0.2">
      <c r="A2" s="2"/>
      <c r="B2" s="2"/>
      <c r="C2" s="2"/>
      <c r="D2" s="2"/>
    </row>
    <row r="3" spans="1:4" x14ac:dyDescent="0.2">
      <c r="A3" s="2"/>
      <c r="B3" s="88" t="s">
        <v>91</v>
      </c>
      <c r="C3" s="88" t="s">
        <v>9</v>
      </c>
      <c r="D3" s="2"/>
    </row>
    <row r="4" spans="1:4" x14ac:dyDescent="0.2">
      <c r="A4" s="2"/>
      <c r="B4" s="89" t="s">
        <v>233</v>
      </c>
      <c r="C4" s="94">
        <f>Slakteoppgjerskalkulatoren!C5</f>
        <v>39</v>
      </c>
      <c r="D4" s="2"/>
    </row>
    <row r="5" spans="1:4" x14ac:dyDescent="0.2">
      <c r="A5" s="2"/>
      <c r="B5" s="89" t="s">
        <v>40</v>
      </c>
      <c r="C5" s="94">
        <f>Slakteoppgjerskalkulatoren!D3</f>
        <v>2</v>
      </c>
      <c r="D5" s="2"/>
    </row>
    <row r="6" spans="1:4" x14ac:dyDescent="0.2">
      <c r="A6" s="2"/>
      <c r="B6" s="89" t="s">
        <v>93</v>
      </c>
      <c r="C6" s="102">
        <f>Slakteoppgjerskalkulatoren!E7</f>
        <v>21.545999999999999</v>
      </c>
      <c r="D6" s="2"/>
    </row>
    <row r="7" spans="1:4" x14ac:dyDescent="0.2">
      <c r="A7" s="2"/>
      <c r="B7" s="88" t="s">
        <v>88</v>
      </c>
      <c r="C7" s="90"/>
      <c r="D7" s="2"/>
    </row>
    <row r="8" spans="1:4" x14ac:dyDescent="0.2">
      <c r="A8" s="2"/>
      <c r="B8" s="91" t="s">
        <v>90</v>
      </c>
      <c r="C8" s="92">
        <f>Slakteoppgjerskalkulatoren!F7+Slakteoppgjerskalkulatoren!M7</f>
        <v>1428.7152599999999</v>
      </c>
      <c r="D8" s="2"/>
    </row>
    <row r="9" spans="1:4" x14ac:dyDescent="0.2">
      <c r="A9" s="2"/>
      <c r="B9" s="91" t="str">
        <f>Slakteoppgjerskalkulatoren!H5</f>
        <v>Kvantum</v>
      </c>
      <c r="C9" s="92">
        <f>Slakteoppgjerskalkulatoren!H7</f>
        <v>36.6282</v>
      </c>
      <c r="D9" s="2"/>
    </row>
    <row r="10" spans="1:4" x14ac:dyDescent="0.2">
      <c r="A10" s="2"/>
      <c r="B10" s="91" t="str">
        <f>Slakteoppgjerskalkulatoren!I5</f>
        <v>Stjernelam</v>
      </c>
      <c r="C10" s="92">
        <f>Slakteoppgjerskalkulatoren!I7</f>
        <v>53.864999999999995</v>
      </c>
      <c r="D10" s="2"/>
    </row>
    <row r="11" spans="1:4" x14ac:dyDescent="0.2">
      <c r="A11" s="2"/>
      <c r="B11" s="91" t="str">
        <f>Slakteoppgjerskalkulatoren!J5</f>
        <v>Gourmetlam</v>
      </c>
      <c r="C11" s="92">
        <f>Slakteoppgjerskalkulatoren!J7</f>
        <v>64.638000000000005</v>
      </c>
      <c r="D11" s="2"/>
    </row>
    <row r="12" spans="1:4" x14ac:dyDescent="0.2">
      <c r="A12" s="2"/>
      <c r="B12" s="91" t="str">
        <f>Slakteoppgjerskalkulatoren!K5</f>
        <v>Lammering</v>
      </c>
      <c r="C12" s="92">
        <f>Slakteoppgjerskalkulatoren!K7</f>
        <v>15</v>
      </c>
      <c r="D12" s="2"/>
    </row>
    <row r="13" spans="1:4" x14ac:dyDescent="0.2">
      <c r="A13" s="2"/>
      <c r="B13" s="91" t="str">
        <f>Slakteoppgjerskalkulatoren!O5</f>
        <v>Puljetillegg</v>
      </c>
      <c r="C13" s="92">
        <f>Slakteoppgjerskalkulatoren!O7</f>
        <v>75.411000000000001</v>
      </c>
      <c r="D13" s="2"/>
    </row>
    <row r="14" spans="1:4" x14ac:dyDescent="0.2">
      <c r="A14" s="2"/>
      <c r="B14" s="91" t="s">
        <v>0</v>
      </c>
      <c r="C14" s="92">
        <f>Slakteoppgjerskalkulatoren!G7</f>
        <v>113.1165</v>
      </c>
      <c r="D14" s="2"/>
    </row>
    <row r="15" spans="1:4" x14ac:dyDescent="0.2">
      <c r="A15" s="2"/>
      <c r="B15" s="89" t="s">
        <v>237</v>
      </c>
      <c r="C15" s="93">
        <f>Slakteoppgjerskalkulatoren!N7</f>
        <v>555</v>
      </c>
      <c r="D15" s="2"/>
    </row>
    <row r="16" spans="1:4" x14ac:dyDescent="0.2">
      <c r="A16" s="2"/>
      <c r="B16" s="35" t="s">
        <v>92</v>
      </c>
      <c r="C16" s="87">
        <f>SUM(C8:C15)</f>
        <v>2342.3739599999999</v>
      </c>
      <c r="D16" s="2"/>
    </row>
    <row r="17" spans="1:4" x14ac:dyDescent="0.2">
      <c r="A17" s="2"/>
      <c r="B17" s="35" t="s">
        <v>87</v>
      </c>
      <c r="C17" s="87">
        <f>C16/Slakteoppgjerskalkulatoren!E7</f>
        <v>108.71502645502645</v>
      </c>
      <c r="D17" s="2"/>
    </row>
    <row r="18" spans="1:4" x14ac:dyDescent="0.2">
      <c r="A18" s="2"/>
      <c r="B18" s="2"/>
      <c r="C18" s="2"/>
      <c r="D18" s="2"/>
    </row>
    <row r="19" spans="1:4" x14ac:dyDescent="0.2">
      <c r="A19" s="2"/>
      <c r="B19" s="2"/>
      <c r="C19" s="2"/>
      <c r="D19" s="2"/>
    </row>
    <row r="20" spans="1:4" x14ac:dyDescent="0.2">
      <c r="A20" s="2"/>
      <c r="B20" s="2"/>
      <c r="C20" s="2"/>
      <c r="D20" s="2"/>
    </row>
    <row r="21" spans="1:4" x14ac:dyDescent="0.2">
      <c r="A21" s="2"/>
      <c r="B21" s="2"/>
      <c r="C21" s="2"/>
      <c r="D21" s="2"/>
    </row>
    <row r="22" spans="1:4" x14ac:dyDescent="0.2">
      <c r="A22" s="2"/>
      <c r="B22" s="2"/>
      <c r="C22" s="2"/>
      <c r="D22" s="2"/>
    </row>
  </sheetData>
  <pageMargins left="0.7" right="0.7" top="0.75" bottom="0.75" header="0.3" footer="0.3"/>
  <pageSetup paperSize="9" orientation="portrait" verticalDpi="0" r:id="rId1"/>
  <headerFooter>
    <oddHeader>&amp;L&amp;"Calibri"&amp;10&amp;K000000 INTERN&amp;1#_x000D_</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49"/>
  <sheetViews>
    <sheetView topLeftCell="A52" workbookViewId="0">
      <selection activeCell="H156" sqref="H156"/>
    </sheetView>
  </sheetViews>
  <sheetFormatPr baseColWidth="10" defaultRowHeight="12.75" x14ac:dyDescent="0.2"/>
  <sheetData>
    <row r="1" spans="1:1" ht="18" x14ac:dyDescent="0.2">
      <c r="A1" s="95" t="s">
        <v>96</v>
      </c>
    </row>
    <row r="2" spans="1:1" ht="15" x14ac:dyDescent="0.2">
      <c r="A2" s="96" t="s">
        <v>97</v>
      </c>
    </row>
    <row r="3" spans="1:1" x14ac:dyDescent="0.2">
      <c r="A3" s="97" t="s">
        <v>98</v>
      </c>
    </row>
    <row r="4" spans="1:1" ht="15" x14ac:dyDescent="0.2">
      <c r="A4" s="96" t="s">
        <v>99</v>
      </c>
    </row>
    <row r="5" spans="1:1" x14ac:dyDescent="0.2">
      <c r="A5" s="98" t="s">
        <v>100</v>
      </c>
    </row>
    <row r="6" spans="1:1" x14ac:dyDescent="0.2">
      <c r="A6" s="99" t="s">
        <v>101</v>
      </c>
    </row>
    <row r="7" spans="1:1" x14ac:dyDescent="0.2">
      <c r="A7" s="97" t="s">
        <v>102</v>
      </c>
    </row>
    <row r="8" spans="1:1" x14ac:dyDescent="0.2">
      <c r="A8" s="99" t="s">
        <v>103</v>
      </c>
    </row>
    <row r="9" spans="1:1" x14ac:dyDescent="0.2">
      <c r="A9" s="97" t="s">
        <v>104</v>
      </c>
    </row>
    <row r="10" spans="1:1" x14ac:dyDescent="0.2">
      <c r="A10" s="99" t="s">
        <v>105</v>
      </c>
    </row>
    <row r="11" spans="1:1" x14ac:dyDescent="0.2">
      <c r="A11" s="97" t="s">
        <v>106</v>
      </c>
    </row>
    <row r="12" spans="1:1" x14ac:dyDescent="0.2">
      <c r="A12" s="97" t="s">
        <v>107</v>
      </c>
    </row>
    <row r="13" spans="1:1" x14ac:dyDescent="0.2">
      <c r="A13" s="97" t="s">
        <v>108</v>
      </c>
    </row>
    <row r="14" spans="1:1" x14ac:dyDescent="0.2">
      <c r="A14" s="99" t="s">
        <v>109</v>
      </c>
    </row>
    <row r="15" spans="1:1" x14ac:dyDescent="0.2">
      <c r="A15" s="97" t="s">
        <v>110</v>
      </c>
    </row>
    <row r="16" spans="1:1" x14ac:dyDescent="0.2">
      <c r="A16" s="97" t="s">
        <v>111</v>
      </c>
    </row>
    <row r="17" spans="1:1" x14ac:dyDescent="0.2">
      <c r="A17" s="97" t="s">
        <v>112</v>
      </c>
    </row>
    <row r="18" spans="1:1" x14ac:dyDescent="0.2">
      <c r="A18" s="97" t="s">
        <v>113</v>
      </c>
    </row>
    <row r="19" spans="1:1" x14ac:dyDescent="0.2">
      <c r="A19" s="97" t="s">
        <v>114</v>
      </c>
    </row>
    <row r="20" spans="1:1" x14ac:dyDescent="0.2">
      <c r="A20" s="97" t="s">
        <v>115</v>
      </c>
    </row>
    <row r="21" spans="1:1" x14ac:dyDescent="0.2">
      <c r="A21" s="99" t="s">
        <v>116</v>
      </c>
    </row>
    <row r="22" spans="1:1" x14ac:dyDescent="0.2">
      <c r="A22" s="97" t="s">
        <v>117</v>
      </c>
    </row>
    <row r="23" spans="1:1" x14ac:dyDescent="0.2">
      <c r="A23" s="97" t="s">
        <v>118</v>
      </c>
    </row>
    <row r="24" spans="1:1" x14ac:dyDescent="0.2">
      <c r="A24" s="99" t="s">
        <v>119</v>
      </c>
    </row>
    <row r="25" spans="1:1" x14ac:dyDescent="0.2">
      <c r="A25" s="97" t="s">
        <v>120</v>
      </c>
    </row>
    <row r="26" spans="1:1" x14ac:dyDescent="0.2">
      <c r="A26" s="97" t="s">
        <v>121</v>
      </c>
    </row>
    <row r="27" spans="1:1" x14ac:dyDescent="0.2">
      <c r="A27" s="97" t="s">
        <v>122</v>
      </c>
    </row>
    <row r="28" spans="1:1" x14ac:dyDescent="0.2">
      <c r="A28" s="97" t="s">
        <v>123</v>
      </c>
    </row>
    <row r="29" spans="1:1" x14ac:dyDescent="0.2">
      <c r="A29" s="97" t="s">
        <v>124</v>
      </c>
    </row>
    <row r="30" spans="1:1" x14ac:dyDescent="0.2">
      <c r="A30" s="97" t="s">
        <v>125</v>
      </c>
    </row>
    <row r="31" spans="1:1" x14ac:dyDescent="0.2">
      <c r="A31" s="99" t="s">
        <v>126</v>
      </c>
    </row>
    <row r="32" spans="1:1" x14ac:dyDescent="0.2">
      <c r="A32" s="97" t="s">
        <v>127</v>
      </c>
    </row>
    <row r="33" spans="1:1" x14ac:dyDescent="0.2">
      <c r="A33" s="99" t="s">
        <v>128</v>
      </c>
    </row>
    <row r="34" spans="1:1" x14ac:dyDescent="0.2">
      <c r="A34" s="97" t="s">
        <v>129</v>
      </c>
    </row>
    <row r="35" spans="1:1" x14ac:dyDescent="0.2">
      <c r="A35" s="99" t="s">
        <v>130</v>
      </c>
    </row>
    <row r="36" spans="1:1" x14ac:dyDescent="0.2">
      <c r="A36" s="97" t="s">
        <v>131</v>
      </c>
    </row>
    <row r="37" spans="1:1" x14ac:dyDescent="0.2">
      <c r="A37" s="99" t="s">
        <v>132</v>
      </c>
    </row>
    <row r="38" spans="1:1" x14ac:dyDescent="0.2">
      <c r="A38" s="97" t="s">
        <v>133</v>
      </c>
    </row>
    <row r="39" spans="1:1" x14ac:dyDescent="0.2">
      <c r="A39" s="97" t="s">
        <v>134</v>
      </c>
    </row>
    <row r="40" spans="1:1" x14ac:dyDescent="0.2">
      <c r="A40" s="97" t="s">
        <v>135</v>
      </c>
    </row>
    <row r="41" spans="1:1" x14ac:dyDescent="0.2">
      <c r="A41" s="97" t="s">
        <v>136</v>
      </c>
    </row>
    <row r="42" spans="1:1" x14ac:dyDescent="0.2">
      <c r="A42" s="97" t="s">
        <v>137</v>
      </c>
    </row>
    <row r="43" spans="1:1" x14ac:dyDescent="0.2">
      <c r="A43" s="99" t="s">
        <v>138</v>
      </c>
    </row>
    <row r="44" spans="1:1" x14ac:dyDescent="0.2">
      <c r="A44" s="97" t="s">
        <v>139</v>
      </c>
    </row>
    <row r="45" spans="1:1" x14ac:dyDescent="0.2">
      <c r="A45" s="99" t="s">
        <v>140</v>
      </c>
    </row>
    <row r="46" spans="1:1" x14ac:dyDescent="0.2">
      <c r="A46" s="97" t="s">
        <v>139</v>
      </c>
    </row>
    <row r="47" spans="1:1" x14ac:dyDescent="0.2">
      <c r="A47" s="99" t="s">
        <v>141</v>
      </c>
    </row>
    <row r="48" spans="1:1" x14ac:dyDescent="0.2">
      <c r="A48" s="97" t="s">
        <v>139</v>
      </c>
    </row>
    <row r="49" spans="1:1" x14ac:dyDescent="0.2">
      <c r="A49" s="99" t="s">
        <v>142</v>
      </c>
    </row>
    <row r="50" spans="1:1" x14ac:dyDescent="0.2">
      <c r="A50" s="97" t="s">
        <v>143</v>
      </c>
    </row>
    <row r="51" spans="1:1" x14ac:dyDescent="0.2">
      <c r="A51" s="97" t="s">
        <v>144</v>
      </c>
    </row>
    <row r="52" spans="1:1" x14ac:dyDescent="0.2">
      <c r="A52" s="97" t="s">
        <v>145</v>
      </c>
    </row>
    <row r="53" spans="1:1" x14ac:dyDescent="0.2">
      <c r="A53" s="97" t="s">
        <v>146</v>
      </c>
    </row>
    <row r="54" spans="1:1" x14ac:dyDescent="0.2">
      <c r="A54" s="97" t="s">
        <v>147</v>
      </c>
    </row>
    <row r="55" spans="1:1" x14ac:dyDescent="0.2">
      <c r="A55" s="97" t="s">
        <v>148</v>
      </c>
    </row>
    <row r="56" spans="1:1" x14ac:dyDescent="0.2">
      <c r="A56" s="97" t="s">
        <v>149</v>
      </c>
    </row>
    <row r="57" spans="1:1" x14ac:dyDescent="0.2">
      <c r="A57" s="99" t="s">
        <v>150</v>
      </c>
    </row>
    <row r="58" spans="1:1" x14ac:dyDescent="0.2">
      <c r="A58" s="97" t="s">
        <v>151</v>
      </c>
    </row>
    <row r="59" spans="1:1" x14ac:dyDescent="0.2">
      <c r="A59" s="97" t="s">
        <v>152</v>
      </c>
    </row>
    <row r="60" spans="1:1" x14ac:dyDescent="0.2">
      <c r="A60" s="97" t="s">
        <v>153</v>
      </c>
    </row>
    <row r="61" spans="1:1" x14ac:dyDescent="0.2">
      <c r="A61" s="97" t="s">
        <v>154</v>
      </c>
    </row>
    <row r="62" spans="1:1" x14ac:dyDescent="0.2">
      <c r="A62" s="97" t="s">
        <v>155</v>
      </c>
    </row>
    <row r="63" spans="1:1" x14ac:dyDescent="0.2">
      <c r="A63" s="97" t="s">
        <v>156</v>
      </c>
    </row>
    <row r="64" spans="1:1" x14ac:dyDescent="0.2">
      <c r="A64" s="97" t="s">
        <v>157</v>
      </c>
    </row>
    <row r="65" spans="1:1" x14ac:dyDescent="0.2">
      <c r="A65" s="97" t="s">
        <v>158</v>
      </c>
    </row>
    <row r="66" spans="1:1" x14ac:dyDescent="0.2">
      <c r="A66" s="97" t="s">
        <v>159</v>
      </c>
    </row>
    <row r="67" spans="1:1" ht="15" x14ac:dyDescent="0.2">
      <c r="A67" s="96" t="s">
        <v>160</v>
      </c>
    </row>
    <row r="68" spans="1:1" x14ac:dyDescent="0.2">
      <c r="A68" s="98" t="s">
        <v>161</v>
      </c>
    </row>
    <row r="69" spans="1:1" x14ac:dyDescent="0.2">
      <c r="A69" s="99" t="s">
        <v>109</v>
      </c>
    </row>
    <row r="70" spans="1:1" x14ac:dyDescent="0.2">
      <c r="A70" s="97" t="s">
        <v>162</v>
      </c>
    </row>
    <row r="71" spans="1:1" x14ac:dyDescent="0.2">
      <c r="A71" s="97" t="s">
        <v>163</v>
      </c>
    </row>
    <row r="72" spans="1:1" x14ac:dyDescent="0.2">
      <c r="A72" s="97" t="s">
        <v>164</v>
      </c>
    </row>
    <row r="73" spans="1:1" x14ac:dyDescent="0.2">
      <c r="A73" s="97" t="s">
        <v>165</v>
      </c>
    </row>
    <row r="74" spans="1:1" x14ac:dyDescent="0.2">
      <c r="A74" s="99" t="s">
        <v>116</v>
      </c>
    </row>
    <row r="75" spans="1:1" x14ac:dyDescent="0.2">
      <c r="A75" s="97" t="s">
        <v>166</v>
      </c>
    </row>
    <row r="76" spans="1:1" x14ac:dyDescent="0.2">
      <c r="A76" s="97" t="s">
        <v>167</v>
      </c>
    </row>
    <row r="77" spans="1:1" x14ac:dyDescent="0.2">
      <c r="A77" s="97" t="s">
        <v>168</v>
      </c>
    </row>
    <row r="78" spans="1:1" x14ac:dyDescent="0.2">
      <c r="A78" s="97" t="s">
        <v>169</v>
      </c>
    </row>
    <row r="79" spans="1:1" x14ac:dyDescent="0.2">
      <c r="A79" s="97" t="s">
        <v>170</v>
      </c>
    </row>
    <row r="80" spans="1:1" x14ac:dyDescent="0.2">
      <c r="A80" s="97" t="s">
        <v>171</v>
      </c>
    </row>
    <row r="81" spans="1:1" x14ac:dyDescent="0.2">
      <c r="A81" s="97" t="s">
        <v>172</v>
      </c>
    </row>
    <row r="82" spans="1:1" x14ac:dyDescent="0.2">
      <c r="A82" s="97" t="s">
        <v>173</v>
      </c>
    </row>
    <row r="83" spans="1:1" x14ac:dyDescent="0.2">
      <c r="A83" s="97" t="s">
        <v>174</v>
      </c>
    </row>
    <row r="84" spans="1:1" x14ac:dyDescent="0.2">
      <c r="A84" s="97" t="s">
        <v>175</v>
      </c>
    </row>
    <row r="85" spans="1:1" x14ac:dyDescent="0.2">
      <c r="A85" s="97" t="s">
        <v>176</v>
      </c>
    </row>
    <row r="86" spans="1:1" x14ac:dyDescent="0.2">
      <c r="A86" s="97" t="s">
        <v>177</v>
      </c>
    </row>
    <row r="87" spans="1:1" x14ac:dyDescent="0.2">
      <c r="A87" s="99" t="s">
        <v>119</v>
      </c>
    </row>
    <row r="88" spans="1:1" x14ac:dyDescent="0.2">
      <c r="A88" s="97" t="s">
        <v>178</v>
      </c>
    </row>
    <row r="89" spans="1:1" x14ac:dyDescent="0.2">
      <c r="A89" s="97" t="s">
        <v>179</v>
      </c>
    </row>
    <row r="90" spans="1:1" x14ac:dyDescent="0.2">
      <c r="A90" s="97" t="s">
        <v>180</v>
      </c>
    </row>
    <row r="91" spans="1:1" x14ac:dyDescent="0.2">
      <c r="A91" s="97" t="s">
        <v>181</v>
      </c>
    </row>
    <row r="92" spans="1:1" x14ac:dyDescent="0.2">
      <c r="A92" s="99" t="s">
        <v>126</v>
      </c>
    </row>
    <row r="93" spans="1:1" x14ac:dyDescent="0.2">
      <c r="A93" s="97" t="s">
        <v>182</v>
      </c>
    </row>
    <row r="94" spans="1:1" x14ac:dyDescent="0.2">
      <c r="A94" s="97" t="s">
        <v>183</v>
      </c>
    </row>
    <row r="95" spans="1:1" x14ac:dyDescent="0.2">
      <c r="A95" s="97" t="s">
        <v>184</v>
      </c>
    </row>
    <row r="96" spans="1:1" x14ac:dyDescent="0.2">
      <c r="A96" s="97" t="s">
        <v>185</v>
      </c>
    </row>
    <row r="97" spans="1:1" x14ac:dyDescent="0.2">
      <c r="A97" s="97" t="s">
        <v>186</v>
      </c>
    </row>
    <row r="98" spans="1:1" x14ac:dyDescent="0.2">
      <c r="A98" s="99" t="s">
        <v>187</v>
      </c>
    </row>
    <row r="99" spans="1:1" x14ac:dyDescent="0.2">
      <c r="A99" s="97" t="s">
        <v>188</v>
      </c>
    </row>
    <row r="100" spans="1:1" x14ac:dyDescent="0.2">
      <c r="A100" s="97" t="s">
        <v>189</v>
      </c>
    </row>
    <row r="101" spans="1:1" x14ac:dyDescent="0.2">
      <c r="A101" s="99" t="s">
        <v>138</v>
      </c>
    </row>
    <row r="102" spans="1:1" x14ac:dyDescent="0.2">
      <c r="A102" s="98" t="s">
        <v>190</v>
      </c>
    </row>
    <row r="103" spans="1:1" x14ac:dyDescent="0.2">
      <c r="A103" s="100" t="s">
        <v>191</v>
      </c>
    </row>
    <row r="104" spans="1:1" x14ac:dyDescent="0.2">
      <c r="A104" s="100" t="s">
        <v>192</v>
      </c>
    </row>
    <row r="105" spans="1:1" x14ac:dyDescent="0.2">
      <c r="A105" s="100" t="s">
        <v>193</v>
      </c>
    </row>
    <row r="106" spans="1:1" x14ac:dyDescent="0.2">
      <c r="A106" s="100" t="s">
        <v>194</v>
      </c>
    </row>
    <row r="107" spans="1:1" x14ac:dyDescent="0.2">
      <c r="A107" s="100" t="s">
        <v>195</v>
      </c>
    </row>
    <row r="108" spans="1:1" x14ac:dyDescent="0.2">
      <c r="A108" s="99" t="s">
        <v>140</v>
      </c>
    </row>
    <row r="109" spans="1:1" x14ac:dyDescent="0.2">
      <c r="A109" s="100" t="s">
        <v>196</v>
      </c>
    </row>
    <row r="110" spans="1:1" x14ac:dyDescent="0.2">
      <c r="A110" s="100" t="s">
        <v>197</v>
      </c>
    </row>
    <row r="111" spans="1:1" x14ac:dyDescent="0.2">
      <c r="A111" s="100" t="s">
        <v>198</v>
      </c>
    </row>
    <row r="112" spans="1:1" x14ac:dyDescent="0.2">
      <c r="A112" s="99" t="s">
        <v>141</v>
      </c>
    </row>
    <row r="113" spans="1:1" x14ac:dyDescent="0.2">
      <c r="A113" s="100" t="s">
        <v>199</v>
      </c>
    </row>
    <row r="114" spans="1:1" x14ac:dyDescent="0.2">
      <c r="A114" s="100" t="s">
        <v>200</v>
      </c>
    </row>
    <row r="115" spans="1:1" x14ac:dyDescent="0.2">
      <c r="A115" s="100" t="s">
        <v>201</v>
      </c>
    </row>
    <row r="116" spans="1:1" x14ac:dyDescent="0.2">
      <c r="A116" s="100" t="s">
        <v>202</v>
      </c>
    </row>
    <row r="117" spans="1:1" x14ac:dyDescent="0.2">
      <c r="A117" s="100" t="s">
        <v>203</v>
      </c>
    </row>
    <row r="118" spans="1:1" x14ac:dyDescent="0.2">
      <c r="A118" s="100" t="s">
        <v>204</v>
      </c>
    </row>
    <row r="119" spans="1:1" x14ac:dyDescent="0.2">
      <c r="A119" s="100" t="s">
        <v>205</v>
      </c>
    </row>
    <row r="120" spans="1:1" x14ac:dyDescent="0.2">
      <c r="A120" s="100" t="s">
        <v>206</v>
      </c>
    </row>
    <row r="121" spans="1:1" x14ac:dyDescent="0.2">
      <c r="A121" s="100" t="s">
        <v>207</v>
      </c>
    </row>
    <row r="122" spans="1:1" x14ac:dyDescent="0.2">
      <c r="A122" s="100" t="s">
        <v>208</v>
      </c>
    </row>
    <row r="123" spans="1:1" x14ac:dyDescent="0.2">
      <c r="A123" s="100" t="s">
        <v>209</v>
      </c>
    </row>
    <row r="124" spans="1:1" x14ac:dyDescent="0.2">
      <c r="A124" s="100" t="s">
        <v>210</v>
      </c>
    </row>
    <row r="125" spans="1:1" x14ac:dyDescent="0.2">
      <c r="A125" s="100" t="s">
        <v>211</v>
      </c>
    </row>
    <row r="126" spans="1:1" x14ac:dyDescent="0.2">
      <c r="A126" s="100" t="s">
        <v>212</v>
      </c>
    </row>
    <row r="127" spans="1:1" x14ac:dyDescent="0.2">
      <c r="A127" s="99" t="s">
        <v>142</v>
      </c>
    </row>
    <row r="128" spans="1:1" x14ac:dyDescent="0.2">
      <c r="A128" s="97" t="s">
        <v>213</v>
      </c>
    </row>
    <row r="129" spans="1:1" x14ac:dyDescent="0.2">
      <c r="A129" s="97" t="s">
        <v>214</v>
      </c>
    </row>
    <row r="130" spans="1:1" x14ac:dyDescent="0.2">
      <c r="A130" s="97" t="s">
        <v>215</v>
      </c>
    </row>
    <row r="131" spans="1:1" x14ac:dyDescent="0.2">
      <c r="A131" s="97" t="s">
        <v>216</v>
      </c>
    </row>
    <row r="132" spans="1:1" x14ac:dyDescent="0.2">
      <c r="A132" s="97" t="s">
        <v>217</v>
      </c>
    </row>
    <row r="133" spans="1:1" x14ac:dyDescent="0.2">
      <c r="A133" s="99" t="s">
        <v>150</v>
      </c>
    </row>
    <row r="134" spans="1:1" x14ac:dyDescent="0.2">
      <c r="A134" s="97" t="s">
        <v>218</v>
      </c>
    </row>
    <row r="135" spans="1:1" x14ac:dyDescent="0.2">
      <c r="A135" s="97" t="s">
        <v>219</v>
      </c>
    </row>
    <row r="136" spans="1:1" ht="15" x14ac:dyDescent="0.2">
      <c r="A136" s="96" t="s">
        <v>220</v>
      </c>
    </row>
    <row r="137" spans="1:1" x14ac:dyDescent="0.2">
      <c r="A137" s="98" t="s">
        <v>221</v>
      </c>
    </row>
    <row r="138" spans="1:1" x14ac:dyDescent="0.2">
      <c r="A138" s="99" t="s">
        <v>222</v>
      </c>
    </row>
    <row r="139" spans="1:1" x14ac:dyDescent="0.2">
      <c r="A139" s="97" t="s">
        <v>131</v>
      </c>
    </row>
    <row r="140" spans="1:1" x14ac:dyDescent="0.2">
      <c r="A140" s="99" t="s">
        <v>223</v>
      </c>
    </row>
    <row r="141" spans="1:1" x14ac:dyDescent="0.2">
      <c r="A141" s="97" t="s">
        <v>224</v>
      </c>
    </row>
    <row r="142" spans="1:1" ht="15" x14ac:dyDescent="0.2">
      <c r="A142" s="96" t="s">
        <v>225</v>
      </c>
    </row>
    <row r="143" spans="1:1" x14ac:dyDescent="0.2">
      <c r="A143" s="98" t="s">
        <v>226</v>
      </c>
    </row>
    <row r="144" spans="1:1" x14ac:dyDescent="0.2">
      <c r="A144" s="99" t="s">
        <v>223</v>
      </c>
    </row>
    <row r="145" spans="1:1" x14ac:dyDescent="0.2">
      <c r="A145" s="97" t="s">
        <v>227</v>
      </c>
    </row>
    <row r="146" spans="1:1" x14ac:dyDescent="0.2">
      <c r="A146" s="97" t="s">
        <v>228</v>
      </c>
    </row>
    <row r="147" spans="1:1" x14ac:dyDescent="0.2">
      <c r="A147" s="97" t="s">
        <v>229</v>
      </c>
    </row>
    <row r="148" spans="1:1" x14ac:dyDescent="0.2">
      <c r="A148" s="99" t="s">
        <v>230</v>
      </c>
    </row>
    <row r="149" spans="1:1" x14ac:dyDescent="0.2">
      <c r="A149" s="101" t="s">
        <v>231</v>
      </c>
    </row>
  </sheetData>
  <pageMargins left="0.7" right="0.7" top="0.75" bottom="0.75" header="0.3" footer="0.3"/>
  <headerFooter>
    <oddHeader>&amp;L&amp;"Calibri"&amp;10&amp;K000000 INTERN&amp;1#_x000D_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2"/>
  <sheetViews>
    <sheetView topLeftCell="A3" workbookViewId="0">
      <selection activeCell="F11" sqref="F11"/>
    </sheetView>
  </sheetViews>
  <sheetFormatPr baseColWidth="10" defaultRowHeight="12.75" x14ac:dyDescent="0.2"/>
  <cols>
    <col min="3" max="3" width="26.140625" customWidth="1"/>
    <col min="4" max="4" width="19.140625" customWidth="1"/>
    <col min="5" max="5" width="17.7109375" customWidth="1"/>
    <col min="6" max="6" width="27.28515625" customWidth="1"/>
    <col min="7" max="7" width="20.85546875" customWidth="1"/>
    <col min="8" max="8" width="18.5703125" customWidth="1"/>
  </cols>
  <sheetData>
    <row r="1" spans="1:12" ht="13.5" thickBot="1" x14ac:dyDescent="0.25">
      <c r="A1" s="118"/>
      <c r="B1" s="118"/>
      <c r="C1" s="118"/>
      <c r="D1" s="118"/>
      <c r="E1" s="118"/>
      <c r="F1" s="118"/>
      <c r="G1" s="118"/>
      <c r="H1" s="118"/>
      <c r="I1" s="118"/>
    </row>
    <row r="2" spans="1:12" ht="19.5" thickBot="1" x14ac:dyDescent="0.35">
      <c r="A2" s="118"/>
      <c r="B2" s="118"/>
      <c r="C2" s="119" t="s">
        <v>246</v>
      </c>
      <c r="D2" s="120"/>
      <c r="E2" s="120"/>
      <c r="F2" s="121"/>
      <c r="G2" s="121"/>
      <c r="H2" s="121"/>
      <c r="I2" s="118"/>
    </row>
    <row r="3" spans="1:12" ht="15" x14ac:dyDescent="0.25">
      <c r="A3" s="122"/>
      <c r="B3" s="118"/>
      <c r="C3" s="118"/>
      <c r="D3" s="123" t="s">
        <v>247</v>
      </c>
      <c r="E3" s="118"/>
      <c r="F3" s="118"/>
      <c r="G3" s="118"/>
      <c r="H3" s="118"/>
      <c r="I3" s="118"/>
    </row>
    <row r="4" spans="1:12" ht="18.75" x14ac:dyDescent="0.3">
      <c r="A4" s="122"/>
      <c r="B4" s="124" t="s">
        <v>248</v>
      </c>
      <c r="C4" s="124" t="s">
        <v>249</v>
      </c>
      <c r="D4" s="124" t="s">
        <v>250</v>
      </c>
      <c r="E4" s="124" t="s">
        <v>241</v>
      </c>
      <c r="F4" s="124" t="s">
        <v>251</v>
      </c>
      <c r="G4" s="124" t="s">
        <v>272</v>
      </c>
      <c r="H4" s="125"/>
      <c r="I4" s="125"/>
    </row>
    <row r="5" spans="1:12" ht="18.75" x14ac:dyDescent="0.3">
      <c r="A5" s="122"/>
      <c r="B5" s="126"/>
      <c r="C5" s="126" t="s">
        <v>252</v>
      </c>
      <c r="D5" s="126"/>
      <c r="E5" s="126" t="s">
        <v>274</v>
      </c>
      <c r="F5" s="126" t="s">
        <v>275</v>
      </c>
      <c r="G5" s="126" t="s">
        <v>253</v>
      </c>
      <c r="H5" s="127"/>
      <c r="I5" s="125"/>
      <c r="J5" t="s">
        <v>254</v>
      </c>
      <c r="K5" t="s">
        <v>255</v>
      </c>
      <c r="L5" t="s">
        <v>256</v>
      </c>
    </row>
    <row r="6" spans="1:12" ht="18.75" x14ac:dyDescent="0.3">
      <c r="A6" s="122"/>
      <c r="B6" s="128">
        <v>20</v>
      </c>
      <c r="C6" s="128">
        <v>1.7</v>
      </c>
      <c r="D6" s="129">
        <v>0.25</v>
      </c>
      <c r="E6" s="128">
        <v>23</v>
      </c>
      <c r="F6" s="128">
        <v>32</v>
      </c>
      <c r="G6" s="129">
        <v>0.05</v>
      </c>
      <c r="H6" s="124" t="s">
        <v>257</v>
      </c>
      <c r="I6" s="118"/>
      <c r="J6">
        <v>0</v>
      </c>
      <c r="K6">
        <v>999</v>
      </c>
      <c r="L6">
        <v>0</v>
      </c>
    </row>
    <row r="7" spans="1:12" ht="18.75" x14ac:dyDescent="0.3">
      <c r="A7" s="122"/>
      <c r="B7" s="130" t="s">
        <v>258</v>
      </c>
      <c r="C7" s="130" t="s">
        <v>259</v>
      </c>
      <c r="D7" s="130" t="s">
        <v>260</v>
      </c>
      <c r="E7" s="130" t="s">
        <v>261</v>
      </c>
      <c r="F7" s="130" t="s">
        <v>262</v>
      </c>
      <c r="G7" s="130" t="s">
        <v>263</v>
      </c>
      <c r="H7" s="130" t="s">
        <v>264</v>
      </c>
      <c r="I7" s="118"/>
      <c r="J7">
        <v>1000</v>
      </c>
      <c r="K7">
        <v>1999</v>
      </c>
      <c r="L7">
        <v>0.4</v>
      </c>
    </row>
    <row r="8" spans="1:12" ht="18.75" x14ac:dyDescent="0.3">
      <c r="A8" s="122"/>
      <c r="B8" s="131">
        <v>50</v>
      </c>
      <c r="C8" s="132">
        <f t="shared" ref="C8:C21" si="0">$C$6-((B8*$D$6)/B8)</f>
        <v>1.45</v>
      </c>
      <c r="D8" s="133">
        <f t="shared" ref="D8:D21" si="1">(C8*B8)*$E$6</f>
        <v>1667.5</v>
      </c>
      <c r="E8" s="132">
        <f>(B8*$D$6*$F$6)-(B8*$G$6*$F$6)</f>
        <v>320</v>
      </c>
      <c r="F8" s="133">
        <f>D8+E8</f>
        <v>1987.5</v>
      </c>
      <c r="G8" s="134">
        <f t="shared" ref="G8:G21" si="2">IF(F8&lt;$K$6,$L$6,IF(F8&lt;$K$7,$L$7,IF(F8&lt;$K$8,$L$8,IF(F8&lt;$K$9,$L$9,$L$10))))</f>
        <v>0.4</v>
      </c>
      <c r="H8" s="135">
        <f>G8*F8</f>
        <v>795</v>
      </c>
      <c r="I8" s="118"/>
      <c r="J8">
        <v>2000</v>
      </c>
      <c r="K8">
        <v>2999</v>
      </c>
      <c r="L8">
        <v>0.8</v>
      </c>
    </row>
    <row r="9" spans="1:12" ht="18.75" x14ac:dyDescent="0.3">
      <c r="A9" s="122"/>
      <c r="B9" s="132">
        <f t="shared" ref="B9:B21" si="3">B8+$B$6</f>
        <v>70</v>
      </c>
      <c r="C9" s="132">
        <f t="shared" si="0"/>
        <v>1.45</v>
      </c>
      <c r="D9" s="133">
        <f t="shared" si="1"/>
        <v>2334.5</v>
      </c>
      <c r="E9" s="133">
        <f t="shared" ref="E9:E21" si="4">(B9*$D$6*$F$6)-(B9*$G$6*$F$6)</f>
        <v>448</v>
      </c>
      <c r="F9" s="133">
        <f t="shared" ref="F9:F21" si="5">D9+E9</f>
        <v>2782.5</v>
      </c>
      <c r="G9" s="134">
        <f t="shared" si="2"/>
        <v>0.8</v>
      </c>
      <c r="H9" s="135">
        <f t="shared" ref="H9:H21" si="6">G9*F9</f>
        <v>2226</v>
      </c>
      <c r="I9" s="118"/>
      <c r="J9">
        <v>3000</v>
      </c>
      <c r="K9">
        <v>4999</v>
      </c>
      <c r="L9">
        <v>1.2</v>
      </c>
    </row>
    <row r="10" spans="1:12" ht="18.75" x14ac:dyDescent="0.3">
      <c r="A10" s="122"/>
      <c r="B10" s="132">
        <f t="shared" si="3"/>
        <v>90</v>
      </c>
      <c r="C10" s="132">
        <f t="shared" si="0"/>
        <v>1.45</v>
      </c>
      <c r="D10" s="133">
        <f t="shared" si="1"/>
        <v>3001.5</v>
      </c>
      <c r="E10" s="133">
        <f t="shared" si="4"/>
        <v>576</v>
      </c>
      <c r="F10" s="133">
        <f t="shared" si="5"/>
        <v>3577.5</v>
      </c>
      <c r="G10" s="134">
        <f t="shared" si="2"/>
        <v>1.2</v>
      </c>
      <c r="H10" s="135">
        <f t="shared" si="6"/>
        <v>4293</v>
      </c>
      <c r="I10" s="118"/>
      <c r="J10">
        <v>5000</v>
      </c>
      <c r="K10">
        <v>1000000</v>
      </c>
      <c r="L10">
        <v>1.7</v>
      </c>
    </row>
    <row r="11" spans="1:12" ht="18.75" x14ac:dyDescent="0.3">
      <c r="A11" s="122"/>
      <c r="B11" s="132">
        <f t="shared" si="3"/>
        <v>110</v>
      </c>
      <c r="C11" s="132">
        <f t="shared" si="0"/>
        <v>1.45</v>
      </c>
      <c r="D11" s="133">
        <f t="shared" si="1"/>
        <v>3668.5</v>
      </c>
      <c r="E11" s="133">
        <f t="shared" si="4"/>
        <v>704</v>
      </c>
      <c r="F11" s="133">
        <f t="shared" si="5"/>
        <v>4372.5</v>
      </c>
      <c r="G11" s="134">
        <f t="shared" si="2"/>
        <v>1.2</v>
      </c>
      <c r="H11" s="135">
        <f t="shared" si="6"/>
        <v>5247</v>
      </c>
      <c r="I11" s="118"/>
    </row>
    <row r="12" spans="1:12" ht="18.75" x14ac:dyDescent="0.3">
      <c r="A12" s="122"/>
      <c r="B12" s="132">
        <f t="shared" si="3"/>
        <v>130</v>
      </c>
      <c r="C12" s="132">
        <f t="shared" si="0"/>
        <v>1.45</v>
      </c>
      <c r="D12" s="133">
        <f t="shared" si="1"/>
        <v>4335.5</v>
      </c>
      <c r="E12" s="133">
        <f t="shared" si="4"/>
        <v>832</v>
      </c>
      <c r="F12" s="133">
        <f t="shared" si="5"/>
        <v>5167.5</v>
      </c>
      <c r="G12" s="134">
        <f t="shared" si="2"/>
        <v>1.7</v>
      </c>
      <c r="H12" s="135">
        <f t="shared" si="6"/>
        <v>8784.75</v>
      </c>
      <c r="I12" s="118"/>
    </row>
    <row r="13" spans="1:12" ht="18.75" x14ac:dyDescent="0.3">
      <c r="A13" s="122"/>
      <c r="B13" s="132">
        <f t="shared" si="3"/>
        <v>150</v>
      </c>
      <c r="C13" s="132">
        <f t="shared" si="0"/>
        <v>1.45</v>
      </c>
      <c r="D13" s="133">
        <f t="shared" si="1"/>
        <v>5002.5</v>
      </c>
      <c r="E13" s="133">
        <f t="shared" si="4"/>
        <v>960</v>
      </c>
      <c r="F13" s="133">
        <f t="shared" si="5"/>
        <v>5962.5</v>
      </c>
      <c r="G13" s="134">
        <f t="shared" si="2"/>
        <v>1.7</v>
      </c>
      <c r="H13" s="135">
        <f t="shared" si="6"/>
        <v>10136.25</v>
      </c>
      <c r="I13" s="118"/>
    </row>
    <row r="14" spans="1:12" ht="18.75" x14ac:dyDescent="0.3">
      <c r="A14" s="122"/>
      <c r="B14" s="132">
        <f t="shared" si="3"/>
        <v>170</v>
      </c>
      <c r="C14" s="132">
        <f t="shared" si="0"/>
        <v>1.45</v>
      </c>
      <c r="D14" s="133">
        <f t="shared" si="1"/>
        <v>5669.5</v>
      </c>
      <c r="E14" s="133">
        <f t="shared" si="4"/>
        <v>1088</v>
      </c>
      <c r="F14" s="133">
        <f t="shared" si="5"/>
        <v>6757.5</v>
      </c>
      <c r="G14" s="134">
        <f t="shared" si="2"/>
        <v>1.7</v>
      </c>
      <c r="H14" s="135">
        <f t="shared" si="6"/>
        <v>11487.75</v>
      </c>
      <c r="I14" s="118"/>
    </row>
    <row r="15" spans="1:12" ht="18.75" x14ac:dyDescent="0.3">
      <c r="A15" s="122"/>
      <c r="B15" s="132">
        <f t="shared" si="3"/>
        <v>190</v>
      </c>
      <c r="C15" s="132">
        <f t="shared" si="0"/>
        <v>1.45</v>
      </c>
      <c r="D15" s="133">
        <f t="shared" si="1"/>
        <v>6336.5</v>
      </c>
      <c r="E15" s="133">
        <f t="shared" si="4"/>
        <v>1216</v>
      </c>
      <c r="F15" s="133">
        <f t="shared" si="5"/>
        <v>7552.5</v>
      </c>
      <c r="G15" s="134">
        <f t="shared" si="2"/>
        <v>1.7</v>
      </c>
      <c r="H15" s="135">
        <f t="shared" si="6"/>
        <v>12839.25</v>
      </c>
      <c r="I15" s="118"/>
    </row>
    <row r="16" spans="1:12" ht="18.75" x14ac:dyDescent="0.3">
      <c r="A16" s="122"/>
      <c r="B16" s="132">
        <f t="shared" si="3"/>
        <v>210</v>
      </c>
      <c r="C16" s="132">
        <f t="shared" si="0"/>
        <v>1.45</v>
      </c>
      <c r="D16" s="133">
        <f t="shared" si="1"/>
        <v>7003.5</v>
      </c>
      <c r="E16" s="133">
        <f t="shared" si="4"/>
        <v>1344</v>
      </c>
      <c r="F16" s="133">
        <f t="shared" si="5"/>
        <v>8347.5</v>
      </c>
      <c r="G16" s="134">
        <f t="shared" si="2"/>
        <v>1.7</v>
      </c>
      <c r="H16" s="135">
        <f t="shared" si="6"/>
        <v>14190.75</v>
      </c>
      <c r="I16" s="118"/>
    </row>
    <row r="17" spans="1:9" ht="18.75" x14ac:dyDescent="0.3">
      <c r="A17" s="122"/>
      <c r="B17" s="132">
        <f t="shared" si="3"/>
        <v>230</v>
      </c>
      <c r="C17" s="132">
        <f t="shared" si="0"/>
        <v>1.45</v>
      </c>
      <c r="D17" s="133">
        <f t="shared" si="1"/>
        <v>7670.5</v>
      </c>
      <c r="E17" s="133">
        <f t="shared" si="4"/>
        <v>1472</v>
      </c>
      <c r="F17" s="133">
        <f t="shared" si="5"/>
        <v>9142.5</v>
      </c>
      <c r="G17" s="134">
        <f t="shared" si="2"/>
        <v>1.7</v>
      </c>
      <c r="H17" s="135">
        <f t="shared" si="6"/>
        <v>15542.25</v>
      </c>
      <c r="I17" s="118"/>
    </row>
    <row r="18" spans="1:9" ht="18.75" x14ac:dyDescent="0.3">
      <c r="A18" s="122"/>
      <c r="B18" s="132">
        <f t="shared" si="3"/>
        <v>250</v>
      </c>
      <c r="C18" s="132">
        <f t="shared" si="0"/>
        <v>1.45</v>
      </c>
      <c r="D18" s="133">
        <f t="shared" si="1"/>
        <v>8337.5</v>
      </c>
      <c r="E18" s="133">
        <f t="shared" si="4"/>
        <v>1600</v>
      </c>
      <c r="F18" s="133">
        <f t="shared" si="5"/>
        <v>9937.5</v>
      </c>
      <c r="G18" s="134">
        <f t="shared" si="2"/>
        <v>1.7</v>
      </c>
      <c r="H18" s="135">
        <f t="shared" si="6"/>
        <v>16893.75</v>
      </c>
      <c r="I18" s="118"/>
    </row>
    <row r="19" spans="1:9" ht="18.75" x14ac:dyDescent="0.3">
      <c r="A19" s="122"/>
      <c r="B19" s="132">
        <f t="shared" si="3"/>
        <v>270</v>
      </c>
      <c r="C19" s="132">
        <f t="shared" si="0"/>
        <v>1.45</v>
      </c>
      <c r="D19" s="133">
        <f t="shared" si="1"/>
        <v>9004.5</v>
      </c>
      <c r="E19" s="133">
        <f t="shared" si="4"/>
        <v>1728</v>
      </c>
      <c r="F19" s="133">
        <f t="shared" si="5"/>
        <v>10732.5</v>
      </c>
      <c r="G19" s="134">
        <f t="shared" si="2"/>
        <v>1.7</v>
      </c>
      <c r="H19" s="135">
        <f t="shared" si="6"/>
        <v>18245.25</v>
      </c>
      <c r="I19" s="118"/>
    </row>
    <row r="20" spans="1:9" ht="18.75" x14ac:dyDescent="0.3">
      <c r="A20" s="122"/>
      <c r="B20" s="132">
        <f t="shared" si="3"/>
        <v>290</v>
      </c>
      <c r="C20" s="132">
        <f t="shared" si="0"/>
        <v>1.45</v>
      </c>
      <c r="D20" s="133">
        <f t="shared" si="1"/>
        <v>9671.5</v>
      </c>
      <c r="E20" s="133">
        <f t="shared" si="4"/>
        <v>1856</v>
      </c>
      <c r="F20" s="133">
        <f t="shared" si="5"/>
        <v>11527.5</v>
      </c>
      <c r="G20" s="134">
        <f t="shared" si="2"/>
        <v>1.7</v>
      </c>
      <c r="H20" s="135">
        <f t="shared" si="6"/>
        <v>19596.75</v>
      </c>
      <c r="I20" s="118"/>
    </row>
    <row r="21" spans="1:9" ht="18.75" x14ac:dyDescent="0.3">
      <c r="A21" s="122"/>
      <c r="B21" s="136">
        <f t="shared" si="3"/>
        <v>310</v>
      </c>
      <c r="C21" s="136">
        <f t="shared" si="0"/>
        <v>1.45</v>
      </c>
      <c r="D21" s="137">
        <f t="shared" si="1"/>
        <v>10338.5</v>
      </c>
      <c r="E21" s="133">
        <f t="shared" si="4"/>
        <v>1984</v>
      </c>
      <c r="F21" s="137">
        <f t="shared" si="5"/>
        <v>12322.5</v>
      </c>
      <c r="G21" s="138">
        <f t="shared" si="2"/>
        <v>1.7</v>
      </c>
      <c r="H21" s="139">
        <f t="shared" si="6"/>
        <v>20948.25</v>
      </c>
      <c r="I21" s="118"/>
    </row>
    <row r="22" spans="1:9" ht="15" x14ac:dyDescent="0.25">
      <c r="A22" s="122"/>
      <c r="B22" s="118"/>
      <c r="C22" s="118"/>
      <c r="D22" s="118"/>
      <c r="E22" s="118"/>
      <c r="F22" s="118"/>
      <c r="G22" s="118"/>
      <c r="H22" s="118"/>
      <c r="I22" s="118"/>
    </row>
  </sheetData>
  <pageMargins left="0.7" right="0.7" top="0.75" bottom="0.75" header="0.3" footer="0.3"/>
  <headerFooter>
    <oddHeader>&amp;L&amp;"Calibri"&amp;10&amp;K000000 INTERN&amp;1#_x000D_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CAC10FB37E6804A9794D9E58B91CBC5" ma:contentTypeVersion="18" ma:contentTypeDescription="Create a new document." ma:contentTypeScope="" ma:versionID="6d854743d4104902088a58eebda9ebbf">
  <xsd:schema xmlns:xsd="http://www.w3.org/2001/XMLSchema" xmlns:xs="http://www.w3.org/2001/XMLSchema" xmlns:p="http://schemas.microsoft.com/office/2006/metadata/properties" xmlns:ns3="0267d702-d2f5-4999-a279-36ffe41e1027" xmlns:ns4="2fb77402-f373-4fab-832a-059cc3abd9c3" targetNamespace="http://schemas.microsoft.com/office/2006/metadata/properties" ma:root="true" ma:fieldsID="e5bade85152e407b7c60488d1e91a071" ns3:_="" ns4:_="">
    <xsd:import namespace="0267d702-d2f5-4999-a279-36ffe41e1027"/>
    <xsd:import namespace="2fb77402-f373-4fab-832a-059cc3abd9c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LengthInSeconds" minOccurs="0"/>
                <xsd:element ref="ns3:MediaServiceAutoKeyPoints" minOccurs="0"/>
                <xsd:element ref="ns3:MediaServiceKeyPoint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7d702-d2f5-4999-a279-36ffe41e10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fb77402-f373-4fab-832a-059cc3abd9c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0267d702-d2f5-4999-a279-36ffe41e1027"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8EF96F-4A53-46F6-9E3F-C0827E5B4916}">
  <ds:schemaRefs>
    <ds:schemaRef ds:uri="http://schemas.microsoft.com/office/2006/metadata/longProperties"/>
  </ds:schemaRefs>
</ds:datastoreItem>
</file>

<file path=customXml/itemProps2.xml><?xml version="1.0" encoding="utf-8"?>
<ds:datastoreItem xmlns:ds="http://schemas.openxmlformats.org/officeDocument/2006/customXml" ds:itemID="{C4E266EE-73EB-4587-A9DC-D42D4DAC08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67d702-d2f5-4999-a279-36ffe41e1027"/>
    <ds:schemaRef ds:uri="2fb77402-f373-4fab-832a-059cc3abd9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3385F8-9C0E-4445-9713-E2442DC95E64}">
  <ds:schemaRefs>
    <ds:schemaRef ds:uri="2fb77402-f373-4fab-832a-059cc3abd9c3"/>
    <ds:schemaRef ds:uri="http://purl.org/dc/dcmitype/"/>
    <ds:schemaRef ds:uri="http://purl.org/dc/elements/1.1/"/>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0267d702-d2f5-4999-a279-36ffe41e1027"/>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0B9BA700-4E86-473A-B73E-696F30ADDB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Brukar-rettleiing</vt:lpstr>
      <vt:lpstr>Slakteoppgjerskalkulatoren</vt:lpstr>
      <vt:lpstr>priseksempel slaktemodent lam</vt:lpstr>
      <vt:lpstr>Soner distriktstilskot</vt:lpstr>
      <vt:lpstr>Kvantumskalkulator</vt:lpstr>
    </vt:vector>
  </TitlesOfParts>
  <Company>Firma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Slakteoppgjerskalkulatoren 2014.xls</dc:title>
  <dc:creator>Finn Avdem</dc:creator>
  <cp:keywords>slakkteoppgjer; lam</cp:keywords>
  <cp:lastModifiedBy>Finn Avdem</cp:lastModifiedBy>
  <cp:lastPrinted>2011-06-28T11:16:36Z</cp:lastPrinted>
  <dcterms:created xsi:type="dcterms:W3CDTF">2009-06-11T11:15:10Z</dcterms:created>
  <dcterms:modified xsi:type="dcterms:W3CDTF">2025-06-27T07:42:12Z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VWNCEYZFX26D-1-34769</vt:lpwstr>
  </property>
  <property fmtid="{D5CDD505-2E9C-101B-9397-08002B2CF9AE}" pid="3" name="_dlc_DocIdItemGuid">
    <vt:lpwstr>f5b3b47a-be19-4b02-acbf-fcfe9c6af324</vt:lpwstr>
  </property>
  <property fmtid="{D5CDD505-2E9C-101B-9397-08002B2CF9AE}" pid="4" name="_dlc_DocIdUrl">
    <vt:lpwstr>https://portal.nortura.no/fagomrade/medlem/_layouts/15/DocIdRedir.aspx?ID=VWNCEYZFX26D-1-34769, VWNCEYZFX26D-1-34769</vt:lpwstr>
  </property>
  <property fmtid="{D5CDD505-2E9C-101B-9397-08002B2CF9AE}" pid="5" name="TaxKeyword">
    <vt:lpwstr>26;#lam|901f229d-969f-45c9-a27c-c8e9d21208c7;#36;#slakkteoppgjer|35e94658-70a4-42f6-964b-e15bf07bf196</vt:lpwstr>
  </property>
  <property fmtid="{D5CDD505-2E9C-101B-9397-08002B2CF9AE}" pid="6" name="ContentTypeId">
    <vt:lpwstr>0x010100DCAC10FB37E6804A9794D9E58B91CBC5</vt:lpwstr>
  </property>
  <property fmtid="{D5CDD505-2E9C-101B-9397-08002B2CF9AE}" pid="7" name="Kontakt">
    <vt:lpwstr/>
  </property>
  <property fmtid="{D5CDD505-2E9C-101B-9397-08002B2CF9AE}" pid="8" name="m78afdb9c41d48f1921befb5bce5d15a">
    <vt:lpwstr/>
  </property>
  <property fmtid="{D5CDD505-2E9C-101B-9397-08002B2CF9AE}" pid="9" name="display_urn:schemas-microsoft-com:office:office#Editor">
    <vt:lpwstr>Finn Avdem</vt:lpwstr>
  </property>
  <property fmtid="{D5CDD505-2E9C-101B-9397-08002B2CF9AE}" pid="10" name="InkBrevOppdater">
    <vt:lpwstr/>
  </property>
  <property fmtid="{D5CDD505-2E9C-101B-9397-08002B2CF9AE}" pid="11" name="Avsender">
    <vt:lpwstr/>
  </property>
  <property fmtid="{D5CDD505-2E9C-101B-9397-08002B2CF9AE}" pid="12" name="TemplateUrl">
    <vt:lpwstr/>
  </property>
  <property fmtid="{D5CDD505-2E9C-101B-9397-08002B2CF9AE}" pid="13" name="Journal-ID">
    <vt:lpwstr/>
  </property>
  <property fmtid="{D5CDD505-2E9C-101B-9397-08002B2CF9AE}" pid="14" name="Frist">
    <vt:lpwstr/>
  </property>
  <property fmtid="{D5CDD505-2E9C-101B-9397-08002B2CF9AE}" pid="15" name="Mottaker">
    <vt:lpwstr/>
  </property>
  <property fmtid="{D5CDD505-2E9C-101B-9397-08002B2CF9AE}" pid="16" name="ncc8ffb4efad4a539c7a038acdb782dd">
    <vt:lpwstr/>
  </property>
  <property fmtid="{D5CDD505-2E9C-101B-9397-08002B2CF9AE}" pid="17" name="Lokasjon1">
    <vt:lpwstr/>
  </property>
  <property fmtid="{D5CDD505-2E9C-101B-9397-08002B2CF9AE}" pid="18" name="Møtedato">
    <vt:lpwstr/>
  </property>
  <property fmtid="{D5CDD505-2E9C-101B-9397-08002B2CF9AE}" pid="19" name="Intern mottaker">
    <vt:lpwstr/>
  </property>
  <property fmtid="{D5CDD505-2E9C-101B-9397-08002B2CF9AE}" pid="20" name="n468953d2a3346b496c1d51092c780e2">
    <vt:lpwstr/>
  </property>
  <property fmtid="{D5CDD505-2E9C-101B-9397-08002B2CF9AE}" pid="21" name="xd_Signature">
    <vt:lpwstr/>
  </property>
  <property fmtid="{D5CDD505-2E9C-101B-9397-08002B2CF9AE}" pid="22" name="Journalstatus">
    <vt:lpwstr/>
  </property>
  <property fmtid="{D5CDD505-2E9C-101B-9397-08002B2CF9AE}" pid="23" name="Varekategori">
    <vt:lpwstr/>
  </property>
  <property fmtid="{D5CDD505-2E9C-101B-9397-08002B2CF9AE}" pid="24" name="IconOverlay">
    <vt:lpwstr/>
  </property>
  <property fmtid="{D5CDD505-2E9C-101B-9397-08002B2CF9AE}" pid="25" name="xd_ProgID">
    <vt:lpwstr/>
  </property>
  <property fmtid="{D5CDD505-2E9C-101B-9397-08002B2CF9AE}" pid="26" name="Møtenavn">
    <vt:lpwstr/>
  </property>
  <property fmtid="{D5CDD505-2E9C-101B-9397-08002B2CF9AE}" pid="27" name="Kopi til">
    <vt:lpwstr/>
  </property>
  <property fmtid="{D5CDD505-2E9C-101B-9397-08002B2CF9AE}" pid="28" name="_dlc_DocIdPersistId">
    <vt:lpwstr/>
  </property>
  <property fmtid="{D5CDD505-2E9C-101B-9397-08002B2CF9AE}" pid="29" name="display_urn:schemas-microsoft-com:office:office#Author">
    <vt:lpwstr>Finn Avdem</vt:lpwstr>
  </property>
  <property fmtid="{D5CDD505-2E9C-101B-9397-08002B2CF9AE}" pid="30" name="k828317d669c40f1b5efbd639919fbc6">
    <vt:lpwstr/>
  </property>
  <property fmtid="{D5CDD505-2E9C-101B-9397-08002B2CF9AE}" pid="31" name="md717fe79664452cbce9a9c755a29725">
    <vt:lpwstr/>
  </property>
  <property fmtid="{D5CDD505-2E9C-101B-9397-08002B2CF9AE}" pid="32" name="Foretak12">
    <vt:lpwstr/>
  </property>
  <property fmtid="{D5CDD505-2E9C-101B-9397-08002B2CF9AE}" pid="33" name="MSIP_Label_169accf4-2790-4dd9-bd65-6b3231a07cf7_Enabled">
    <vt:lpwstr>true</vt:lpwstr>
  </property>
  <property fmtid="{D5CDD505-2E9C-101B-9397-08002B2CF9AE}" pid="34" name="MSIP_Label_169accf4-2790-4dd9-bd65-6b3231a07cf7_SetDate">
    <vt:lpwstr>2025-06-19T19:43:00Z</vt:lpwstr>
  </property>
  <property fmtid="{D5CDD505-2E9C-101B-9397-08002B2CF9AE}" pid="35" name="MSIP_Label_169accf4-2790-4dd9-bd65-6b3231a07cf7_Method">
    <vt:lpwstr>Standard</vt:lpwstr>
  </property>
  <property fmtid="{D5CDD505-2E9C-101B-9397-08002B2CF9AE}" pid="36" name="MSIP_Label_169accf4-2790-4dd9-bd65-6b3231a07cf7_Name">
    <vt:lpwstr>Intern</vt:lpwstr>
  </property>
  <property fmtid="{D5CDD505-2E9C-101B-9397-08002B2CF9AE}" pid="37" name="MSIP_Label_169accf4-2790-4dd9-bd65-6b3231a07cf7_SiteId">
    <vt:lpwstr>0291be66-84fe-48d2-bcb0-66b1911bb4bb</vt:lpwstr>
  </property>
  <property fmtid="{D5CDD505-2E9C-101B-9397-08002B2CF9AE}" pid="38" name="MSIP_Label_169accf4-2790-4dd9-bd65-6b3231a07cf7_ActionId">
    <vt:lpwstr>dddf367c-0648-428b-b35f-0ce037a6ba5d</vt:lpwstr>
  </property>
  <property fmtid="{D5CDD505-2E9C-101B-9397-08002B2CF9AE}" pid="39" name="MSIP_Label_169accf4-2790-4dd9-bd65-6b3231a07cf7_ContentBits">
    <vt:lpwstr>1</vt:lpwstr>
  </property>
  <property fmtid="{D5CDD505-2E9C-101B-9397-08002B2CF9AE}" pid="40" name="MSIP_Label_169accf4-2790-4dd9-bd65-6b3231a07cf7_Tag">
    <vt:lpwstr>10, 3, 0, 1</vt:lpwstr>
  </property>
</Properties>
</file>